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DultsevaEV\Desktop\СПОРТ\"/>
    </mc:Choice>
  </mc:AlternateContent>
  <bookViews>
    <workbookView xWindow="11895" yWindow="45" windowWidth="16815" windowHeight="12540" tabRatio="648" activeTab="1"/>
  </bookViews>
  <sheets>
    <sheet name="Титульный лист" sheetId="12" r:id="rId1"/>
    <sheet name="2019" sheetId="28" r:id="rId2"/>
  </sheets>
  <definedNames>
    <definedName name="_xlnm.Print_Titles" localSheetId="1">'2019'!$A:$A,'2019'!$6:$7</definedName>
    <definedName name="_xlnm.Print_Area" localSheetId="1">'2019'!$A$1:$AF$464</definedName>
  </definedNames>
  <calcPr calcId="152511"/>
</workbook>
</file>

<file path=xl/calcChain.xml><?xml version="1.0" encoding="utf-8"?>
<calcChain xmlns="http://schemas.openxmlformats.org/spreadsheetml/2006/main">
  <c r="E54" i="28" l="1"/>
  <c r="C54" i="28"/>
  <c r="E83" i="28"/>
  <c r="C82" i="28"/>
  <c r="C84" i="28"/>
  <c r="C81" i="28"/>
  <c r="B82" i="28"/>
  <c r="B84" i="28"/>
  <c r="B81" i="28"/>
  <c r="C72" i="28" l="1"/>
  <c r="C33" i="28"/>
  <c r="C34" i="28"/>
  <c r="C26" i="28"/>
  <c r="C21" i="28"/>
  <c r="C16" i="28"/>
  <c r="C11" i="28"/>
  <c r="C41" i="28" l="1"/>
  <c r="C46" i="28" l="1"/>
  <c r="C79" i="28"/>
  <c r="C60" i="28"/>
  <c r="C35" i="28"/>
  <c r="C29" i="28"/>
  <c r="AD41" i="28" l="1"/>
  <c r="AD83" i="28"/>
  <c r="AC79" i="28" l="1"/>
  <c r="C65" i="28" l="1"/>
  <c r="AB41" i="28"/>
  <c r="E72" i="28" l="1"/>
  <c r="AA41" i="28" l="1"/>
  <c r="B79" i="28"/>
  <c r="AA79" i="28"/>
  <c r="Z41" i="28"/>
  <c r="Y79" i="28" l="1"/>
  <c r="AD21" i="28" l="1"/>
  <c r="X21" i="28"/>
  <c r="V21" i="28"/>
  <c r="E16" i="28"/>
  <c r="B16" i="28"/>
  <c r="W41" i="28" l="1"/>
  <c r="P21" i="28"/>
  <c r="E79" i="28"/>
  <c r="W79" i="28"/>
  <c r="R34" i="28" l="1"/>
  <c r="N34" i="28"/>
  <c r="B34" i="28" s="1"/>
  <c r="AB21" i="28"/>
  <c r="Z21" i="28"/>
  <c r="U41" i="28"/>
  <c r="E41" i="28" s="1"/>
  <c r="X41" i="28"/>
  <c r="V41" i="28"/>
  <c r="T41" i="28"/>
  <c r="R41" i="28"/>
  <c r="P41" i="28"/>
  <c r="N41" i="28"/>
  <c r="L41" i="28"/>
  <c r="T79" i="28"/>
  <c r="R79" i="28"/>
  <c r="U79" i="28"/>
  <c r="S79" i="28"/>
  <c r="C20" i="28" l="1"/>
  <c r="C15" i="28"/>
  <c r="C14" i="28"/>
  <c r="B14" i="28"/>
  <c r="E33" i="28" l="1"/>
  <c r="E34" i="28"/>
  <c r="E21" i="28"/>
  <c r="Q79" i="28" l="1"/>
  <c r="E46" i="28" l="1"/>
  <c r="B63" i="28" l="1"/>
  <c r="B64" i="28"/>
  <c r="B65" i="28"/>
  <c r="C63" i="28"/>
  <c r="C62" i="28" s="1"/>
  <c r="C64" i="28"/>
  <c r="E63" i="28"/>
  <c r="D63" i="28" s="1"/>
  <c r="E64" i="28"/>
  <c r="D64" i="28" s="1"/>
  <c r="E65" i="28"/>
  <c r="G65" i="28" s="1"/>
  <c r="I62" i="28"/>
  <c r="J62" i="28"/>
  <c r="K62" i="28"/>
  <c r="L62" i="28"/>
  <c r="M62" i="28"/>
  <c r="N62" i="28"/>
  <c r="O62" i="28"/>
  <c r="P62" i="28"/>
  <c r="Q62" i="28"/>
  <c r="R62" i="28"/>
  <c r="S62" i="28"/>
  <c r="T62" i="28"/>
  <c r="U62" i="28"/>
  <c r="V62" i="28"/>
  <c r="W62" i="28"/>
  <c r="X62" i="28"/>
  <c r="Y62" i="28"/>
  <c r="Z62" i="28"/>
  <c r="AA62" i="28"/>
  <c r="AB62" i="28"/>
  <c r="AC62" i="28"/>
  <c r="AD62" i="28"/>
  <c r="AE62" i="28"/>
  <c r="H62" i="28"/>
  <c r="F65" i="28" l="1"/>
  <c r="B62" i="28"/>
  <c r="E62" i="28"/>
  <c r="D62" i="28" s="1"/>
  <c r="D65" i="28"/>
  <c r="G62" i="28" l="1"/>
  <c r="F62" i="28"/>
  <c r="B60" i="28"/>
  <c r="O79" i="28"/>
  <c r="M79" i="28" l="1"/>
  <c r="C32" i="28" l="1"/>
  <c r="E26" i="28"/>
  <c r="C71" i="28" l="1"/>
  <c r="C70" i="28"/>
  <c r="B24" i="28"/>
  <c r="B25" i="28"/>
  <c r="C25" i="28"/>
  <c r="C24" i="28"/>
  <c r="C19" i="28"/>
  <c r="H79" i="28" l="1"/>
  <c r="K79" i="28"/>
  <c r="J79" i="28" l="1"/>
  <c r="J21" i="28"/>
  <c r="D54" i="28" l="1"/>
  <c r="I79" i="28" l="1"/>
  <c r="C77" i="28" l="1"/>
  <c r="B78" i="28"/>
  <c r="B77" i="28"/>
  <c r="D79" i="28"/>
  <c r="D41" i="28"/>
  <c r="E58" i="28"/>
  <c r="D58" i="28" s="1"/>
  <c r="E59" i="28"/>
  <c r="D59" i="28" s="1"/>
  <c r="E60" i="28"/>
  <c r="D60" i="28" s="1"/>
  <c r="E57" i="28"/>
  <c r="D57" i="28" s="1"/>
  <c r="C57" i="28"/>
  <c r="C58" i="28"/>
  <c r="C59" i="28"/>
  <c r="B58" i="28"/>
  <c r="B59" i="28"/>
  <c r="B57" i="28"/>
  <c r="E51" i="28"/>
  <c r="C52" i="28"/>
  <c r="C53" i="28"/>
  <c r="C51" i="28"/>
  <c r="B52" i="28"/>
  <c r="B53" i="28"/>
  <c r="B51" i="28"/>
  <c r="I50" i="28"/>
  <c r="B56" i="28" l="1"/>
  <c r="C56" i="28"/>
  <c r="E56" i="28"/>
  <c r="D56" i="28"/>
  <c r="D51" i="28"/>
  <c r="I84" i="28"/>
  <c r="B70" i="28"/>
  <c r="B71" i="28"/>
  <c r="D72" i="28"/>
  <c r="I69" i="28"/>
  <c r="D46" i="28"/>
  <c r="C44" i="28"/>
  <c r="E44" i="28"/>
  <c r="C45" i="28"/>
  <c r="B45" i="28"/>
  <c r="B44" i="28"/>
  <c r="I43" i="28"/>
  <c r="D34" i="28"/>
  <c r="E35" i="28"/>
  <c r="D35" i="28" s="1"/>
  <c r="E32" i="28"/>
  <c r="D32" i="28" s="1"/>
  <c r="I31" i="28"/>
  <c r="H31" i="28"/>
  <c r="B32" i="28"/>
  <c r="E29" i="28"/>
  <c r="E28" i="28" s="1"/>
  <c r="G28" i="28"/>
  <c r="D26" i="28"/>
  <c r="B15" i="28"/>
  <c r="D31" i="28" l="1"/>
  <c r="D16" i="28"/>
  <c r="D29" i="28"/>
  <c r="D28" i="28" s="1"/>
  <c r="T21" i="28"/>
  <c r="T18" i="28" s="1"/>
  <c r="R21" i="28"/>
  <c r="N21" i="28"/>
  <c r="L21" i="28"/>
  <c r="I85" i="28"/>
  <c r="J85" i="28"/>
  <c r="K85" i="28"/>
  <c r="L85" i="28"/>
  <c r="M85" i="28"/>
  <c r="N85" i="28"/>
  <c r="O85" i="28"/>
  <c r="P85" i="28"/>
  <c r="Q85" i="28"/>
  <c r="S85" i="28"/>
  <c r="T85" i="28"/>
  <c r="U85" i="28"/>
  <c r="V85" i="28"/>
  <c r="W85" i="28"/>
  <c r="X85" i="28"/>
  <c r="Y85" i="28"/>
  <c r="Z85" i="28"/>
  <c r="AA85" i="28"/>
  <c r="AB85" i="28"/>
  <c r="AC85" i="28"/>
  <c r="AE85" i="28"/>
  <c r="H85" i="28"/>
  <c r="AD85" i="28"/>
  <c r="H50" i="28"/>
  <c r="R54" i="28"/>
  <c r="J31" i="28"/>
  <c r="K31" i="28"/>
  <c r="M31" i="28"/>
  <c r="N31" i="28"/>
  <c r="O31" i="28"/>
  <c r="P31" i="28"/>
  <c r="Q31" i="28"/>
  <c r="S31" i="28"/>
  <c r="U31" i="28"/>
  <c r="V31" i="28"/>
  <c r="W31" i="28"/>
  <c r="Y31" i="28"/>
  <c r="Z31" i="28"/>
  <c r="AA31" i="28"/>
  <c r="AB31" i="28"/>
  <c r="AC31" i="28"/>
  <c r="AD31" i="28"/>
  <c r="AE31" i="28"/>
  <c r="I82" i="28"/>
  <c r="J82" i="28"/>
  <c r="K82" i="28"/>
  <c r="M82" i="28"/>
  <c r="N82" i="28"/>
  <c r="O82" i="28"/>
  <c r="P82" i="28"/>
  <c r="Q82" i="28"/>
  <c r="S82" i="28"/>
  <c r="U82" i="28"/>
  <c r="V82" i="28"/>
  <c r="W82" i="28"/>
  <c r="Y82" i="28"/>
  <c r="Z82" i="28"/>
  <c r="AA82" i="28"/>
  <c r="AB82" i="28"/>
  <c r="AC82" i="28"/>
  <c r="AD82" i="28"/>
  <c r="AE82" i="28"/>
  <c r="I83" i="28"/>
  <c r="K83" i="28"/>
  <c r="M83" i="28"/>
  <c r="O83" i="28"/>
  <c r="Q83" i="28"/>
  <c r="S83" i="28"/>
  <c r="U83" i="28"/>
  <c r="W83" i="28"/>
  <c r="Y83" i="28"/>
  <c r="AA83" i="28"/>
  <c r="AC83" i="28"/>
  <c r="AE83" i="28"/>
  <c r="J84" i="28"/>
  <c r="K84" i="28"/>
  <c r="M84" i="28"/>
  <c r="N84" i="28"/>
  <c r="O84" i="28"/>
  <c r="P84" i="28"/>
  <c r="Q84" i="28"/>
  <c r="S84" i="28"/>
  <c r="U84" i="28"/>
  <c r="V84" i="28"/>
  <c r="W84" i="28"/>
  <c r="Y84" i="28"/>
  <c r="Z84" i="28"/>
  <c r="AA84" i="28"/>
  <c r="AB84" i="28"/>
  <c r="AC84" i="28"/>
  <c r="AD84" i="28"/>
  <c r="AE84" i="28"/>
  <c r="H84" i="28"/>
  <c r="I81" i="28"/>
  <c r="J81" i="28"/>
  <c r="K81" i="28"/>
  <c r="L81" i="28"/>
  <c r="M81" i="28"/>
  <c r="N81" i="28"/>
  <c r="O81" i="28"/>
  <c r="P81" i="28"/>
  <c r="Q81" i="28"/>
  <c r="R81" i="28"/>
  <c r="S81" i="28"/>
  <c r="T81" i="28"/>
  <c r="U81" i="28"/>
  <c r="V81" i="28"/>
  <c r="W81" i="28"/>
  <c r="X81" i="28"/>
  <c r="Y81" i="28"/>
  <c r="Z81" i="28"/>
  <c r="AA81" i="28"/>
  <c r="AB81" i="28"/>
  <c r="AC81" i="28"/>
  <c r="AD81" i="28"/>
  <c r="AE81" i="28"/>
  <c r="I56" i="28"/>
  <c r="I48" i="28" s="1"/>
  <c r="J56" i="28"/>
  <c r="K56" i="28"/>
  <c r="L56" i="28"/>
  <c r="M56" i="28"/>
  <c r="N56" i="28"/>
  <c r="O56" i="28"/>
  <c r="P56" i="28"/>
  <c r="Q56" i="28"/>
  <c r="R56" i="28"/>
  <c r="S56" i="28"/>
  <c r="T56" i="28"/>
  <c r="U56" i="28"/>
  <c r="V56" i="28"/>
  <c r="W56" i="28"/>
  <c r="X56" i="28"/>
  <c r="Y56" i="28"/>
  <c r="Z56" i="28"/>
  <c r="AA56" i="28"/>
  <c r="AB56" i="28"/>
  <c r="AC56" i="28"/>
  <c r="AD56" i="28"/>
  <c r="AE56" i="28"/>
  <c r="H56" i="28"/>
  <c r="J50" i="28"/>
  <c r="K50" i="28"/>
  <c r="L50" i="28"/>
  <c r="M50" i="28"/>
  <c r="N50" i="28"/>
  <c r="O50" i="28"/>
  <c r="P50" i="28"/>
  <c r="Q50" i="28"/>
  <c r="S50" i="28"/>
  <c r="S48" i="28" s="1"/>
  <c r="T50" i="28"/>
  <c r="U50" i="28"/>
  <c r="U48" i="28" s="1"/>
  <c r="V50" i="28"/>
  <c r="W50" i="28"/>
  <c r="W48" i="28" s="1"/>
  <c r="X50" i="28"/>
  <c r="Y50" i="28"/>
  <c r="Y48" i="28" s="1"/>
  <c r="Z50" i="28"/>
  <c r="AA50" i="28"/>
  <c r="AA48" i="28" s="1"/>
  <c r="AB50" i="28"/>
  <c r="AB48" i="28" s="1"/>
  <c r="AC50" i="28"/>
  <c r="AC48" i="28" s="1"/>
  <c r="AE50" i="28"/>
  <c r="E52" i="28"/>
  <c r="E53" i="28"/>
  <c r="D53" i="28" s="1"/>
  <c r="G60" i="28"/>
  <c r="F60" i="28"/>
  <c r="C85" i="28" l="1"/>
  <c r="B85" i="28"/>
  <c r="AD80" i="28"/>
  <c r="E82" i="28"/>
  <c r="E81" i="28"/>
  <c r="D81" i="28" s="1"/>
  <c r="E84" i="28"/>
  <c r="D84" i="28" s="1"/>
  <c r="D83" i="28"/>
  <c r="C50" i="28"/>
  <c r="C48" i="28" s="1"/>
  <c r="E85" i="28"/>
  <c r="D85" i="28" s="1"/>
  <c r="P48" i="28"/>
  <c r="N48" i="28"/>
  <c r="L48" i="28"/>
  <c r="AE48" i="28"/>
  <c r="AD50" i="28"/>
  <c r="AD48" i="28" s="1"/>
  <c r="Q48" i="28"/>
  <c r="M48" i="28"/>
  <c r="Q80" i="28"/>
  <c r="O48" i="28"/>
  <c r="O80" i="28"/>
  <c r="M80" i="28"/>
  <c r="J48" i="28"/>
  <c r="B54" i="28"/>
  <c r="B50" i="28" s="1"/>
  <c r="B48" i="28" s="1"/>
  <c r="R50" i="28"/>
  <c r="R85" i="28"/>
  <c r="R48" i="28"/>
  <c r="H48" i="28"/>
  <c r="AE80" i="28"/>
  <c r="AC80" i="28"/>
  <c r="Y80" i="28"/>
  <c r="W80" i="28"/>
  <c r="U80" i="28"/>
  <c r="S80" i="28"/>
  <c r="K80" i="28"/>
  <c r="K48" i="28"/>
  <c r="D52" i="28"/>
  <c r="D50" i="28" s="1"/>
  <c r="E50" i="28"/>
  <c r="G56" i="28"/>
  <c r="F54" i="28"/>
  <c r="G54" i="28"/>
  <c r="AA80" i="28"/>
  <c r="Z48" i="28"/>
  <c r="X48" i="28"/>
  <c r="V48" i="28"/>
  <c r="T48" i="28"/>
  <c r="F56" i="28"/>
  <c r="I80" i="28"/>
  <c r="I76" i="28"/>
  <c r="I73" i="28" s="1"/>
  <c r="K76" i="28"/>
  <c r="K73" i="28" s="1"/>
  <c r="M76" i="28"/>
  <c r="M73" i="28" s="1"/>
  <c r="O76" i="28"/>
  <c r="O73" i="28" s="1"/>
  <c r="Q76" i="28"/>
  <c r="Q73" i="28" s="1"/>
  <c r="S76" i="28"/>
  <c r="S73" i="28" s="1"/>
  <c r="U76" i="28"/>
  <c r="U73" i="28" s="1"/>
  <c r="W76" i="28"/>
  <c r="W73" i="28" s="1"/>
  <c r="Y76" i="28"/>
  <c r="Y73" i="28" s="1"/>
  <c r="AA76" i="28"/>
  <c r="AA73" i="28" s="1"/>
  <c r="AC76" i="28"/>
  <c r="AC73" i="28" s="1"/>
  <c r="AE76" i="28"/>
  <c r="AE73" i="28" s="1"/>
  <c r="K69" i="28"/>
  <c r="M69" i="28"/>
  <c r="O69" i="28"/>
  <c r="Q69" i="28"/>
  <c r="S69" i="28"/>
  <c r="S66" i="28" s="1"/>
  <c r="T69" i="28"/>
  <c r="U69" i="28"/>
  <c r="U66" i="28" s="1"/>
  <c r="V69" i="28"/>
  <c r="W69" i="28"/>
  <c r="Y69" i="28"/>
  <c r="AA69" i="28"/>
  <c r="AC69" i="28"/>
  <c r="AD69" i="28"/>
  <c r="AE69" i="28"/>
  <c r="K66" i="28"/>
  <c r="M66" i="28"/>
  <c r="O66" i="28"/>
  <c r="Q66" i="28"/>
  <c r="T66" i="28"/>
  <c r="V66" i="28"/>
  <c r="W66" i="28"/>
  <c r="Y66" i="28"/>
  <c r="AA66" i="28"/>
  <c r="AC66" i="28"/>
  <c r="AD66" i="28"/>
  <c r="AE66" i="28"/>
  <c r="K43" i="28"/>
  <c r="M43" i="28"/>
  <c r="N43" i="28"/>
  <c r="O43" i="28"/>
  <c r="P43" i="28"/>
  <c r="Q43" i="28"/>
  <c r="R43" i="28"/>
  <c r="S43" i="28"/>
  <c r="T43" i="28"/>
  <c r="U43" i="28"/>
  <c r="V43" i="28"/>
  <c r="W43" i="28"/>
  <c r="Y43" i="28"/>
  <c r="Z43" i="28"/>
  <c r="AA43" i="28"/>
  <c r="AB43" i="28"/>
  <c r="AC43" i="28"/>
  <c r="AD43" i="28"/>
  <c r="AE43" i="28"/>
  <c r="H43" i="28"/>
  <c r="I38" i="28"/>
  <c r="I36" i="28" s="1"/>
  <c r="K38" i="28"/>
  <c r="K36" i="28" s="1"/>
  <c r="M38" i="28"/>
  <c r="M36" i="28" s="1"/>
  <c r="O38" i="28"/>
  <c r="O36" i="28" s="1"/>
  <c r="Q38" i="28"/>
  <c r="Q36" i="28" s="1"/>
  <c r="S38" i="28"/>
  <c r="S36" i="28" s="1"/>
  <c r="U38" i="28"/>
  <c r="U36" i="28" s="1"/>
  <c r="W38" i="28"/>
  <c r="W36" i="28" s="1"/>
  <c r="Y38" i="28"/>
  <c r="Y36" i="28" s="1"/>
  <c r="AA38" i="28"/>
  <c r="AA36" i="28" s="1"/>
  <c r="AC38" i="28"/>
  <c r="AC36" i="28" s="1"/>
  <c r="AE38" i="28"/>
  <c r="AE36" i="28" s="1"/>
  <c r="I28" i="28"/>
  <c r="J28" i="28"/>
  <c r="K28" i="28"/>
  <c r="L28" i="28"/>
  <c r="M28" i="28"/>
  <c r="N28" i="28"/>
  <c r="O28" i="28"/>
  <c r="Q28" i="28"/>
  <c r="R28" i="28"/>
  <c r="S28" i="28"/>
  <c r="T28" i="28"/>
  <c r="U28" i="28"/>
  <c r="V28" i="28"/>
  <c r="W28" i="28"/>
  <c r="X28" i="28"/>
  <c r="Y28" i="28"/>
  <c r="Z28" i="28"/>
  <c r="AA28" i="28"/>
  <c r="AB28" i="28"/>
  <c r="AC28" i="28"/>
  <c r="AD28" i="28"/>
  <c r="AE28" i="28"/>
  <c r="I23" i="28"/>
  <c r="K23" i="28"/>
  <c r="M23" i="28"/>
  <c r="O23" i="28"/>
  <c r="Q23" i="28"/>
  <c r="S23" i="28"/>
  <c r="T23" i="28"/>
  <c r="U23" i="28"/>
  <c r="W23" i="28"/>
  <c r="Y23" i="28"/>
  <c r="AA23" i="28"/>
  <c r="AC23" i="28"/>
  <c r="AE23" i="28"/>
  <c r="I18" i="28"/>
  <c r="K18" i="28"/>
  <c r="M18" i="28"/>
  <c r="O18" i="28"/>
  <c r="Q18" i="28"/>
  <c r="S18" i="28"/>
  <c r="U18" i="28"/>
  <c r="W18" i="28"/>
  <c r="Y18" i="28"/>
  <c r="AA18" i="28"/>
  <c r="AC18" i="28"/>
  <c r="AE18" i="28"/>
  <c r="I13" i="28"/>
  <c r="K13" i="28"/>
  <c r="M13" i="28"/>
  <c r="O13" i="28"/>
  <c r="Q13" i="28"/>
  <c r="S13" i="28"/>
  <c r="U13" i="28"/>
  <c r="U11" i="28" s="1"/>
  <c r="W13" i="28"/>
  <c r="Y13" i="28"/>
  <c r="Y11" i="28" s="1"/>
  <c r="AA13" i="28"/>
  <c r="AC13" i="28"/>
  <c r="AC11" i="28" s="1"/>
  <c r="AE13" i="28"/>
  <c r="E14" i="28"/>
  <c r="E15" i="28"/>
  <c r="D15" i="28" s="1"/>
  <c r="E19" i="28"/>
  <c r="E20" i="28"/>
  <c r="D20" i="28" s="1"/>
  <c r="D21" i="28"/>
  <c r="E24" i="28"/>
  <c r="D24" i="28" s="1"/>
  <c r="E25" i="28"/>
  <c r="D25" i="28" s="1"/>
  <c r="E31" i="28"/>
  <c r="E39" i="28"/>
  <c r="E40" i="28"/>
  <c r="D40" i="28" s="1"/>
  <c r="D44" i="28"/>
  <c r="E45" i="28"/>
  <c r="E70" i="28"/>
  <c r="E71" i="28"/>
  <c r="D71" i="28" s="1"/>
  <c r="E77" i="28"/>
  <c r="E78" i="28"/>
  <c r="D78" i="28" s="1"/>
  <c r="C39" i="28"/>
  <c r="C40" i="28"/>
  <c r="C78" i="28"/>
  <c r="E23" i="28" l="1"/>
  <c r="I11" i="28"/>
  <c r="D70" i="28"/>
  <c r="D69" i="28" s="1"/>
  <c r="D66" i="28" s="1"/>
  <c r="E69" i="28"/>
  <c r="E66" i="28" s="1"/>
  <c r="D23" i="28"/>
  <c r="D19" i="28"/>
  <c r="E18" i="28"/>
  <c r="D18" i="28" s="1"/>
  <c r="D14" i="28"/>
  <c r="E13" i="28"/>
  <c r="D13" i="28" s="1"/>
  <c r="D39" i="28"/>
  <c r="D38" i="28" s="1"/>
  <c r="D36" i="28" s="1"/>
  <c r="E38" i="28"/>
  <c r="E36" i="28" s="1"/>
  <c r="D45" i="28"/>
  <c r="D43" i="28" s="1"/>
  <c r="E43" i="28"/>
  <c r="E48" i="28"/>
  <c r="D48" i="28" s="1"/>
  <c r="G50" i="28"/>
  <c r="D77" i="28"/>
  <c r="D76" i="28" s="1"/>
  <c r="D73" i="28" s="1"/>
  <c r="E76" i="28"/>
  <c r="E73" i="28" s="1"/>
  <c r="D80" i="28"/>
  <c r="E80" i="28"/>
  <c r="G85" i="28"/>
  <c r="I66" i="28"/>
  <c r="F50" i="28"/>
  <c r="G34" i="28"/>
  <c r="AE11" i="28"/>
  <c r="AA11" i="28"/>
  <c r="W11" i="28"/>
  <c r="S11" i="28"/>
  <c r="O11" i="28"/>
  <c r="K11" i="28"/>
  <c r="Q11" i="28"/>
  <c r="M11" i="28"/>
  <c r="E11" i="28" l="1"/>
  <c r="F48" i="28"/>
  <c r="D11" i="28"/>
  <c r="G48" i="28"/>
  <c r="F34" i="28"/>
  <c r="H82" i="28" l="1"/>
  <c r="H81" i="28"/>
  <c r="AD76" i="28"/>
  <c r="AD73" i="28" s="1"/>
  <c r="AB76" i="28"/>
  <c r="AB73" i="28" s="1"/>
  <c r="Z76" i="28"/>
  <c r="Z73" i="28" s="1"/>
  <c r="X76" i="28"/>
  <c r="X73" i="28" s="1"/>
  <c r="V79" i="28"/>
  <c r="V76" i="28" s="1"/>
  <c r="V73" i="28" s="1"/>
  <c r="T76" i="28"/>
  <c r="T73" i="28" s="1"/>
  <c r="R76" i="28"/>
  <c r="R73" i="28" s="1"/>
  <c r="P76" i="28"/>
  <c r="P73" i="28" s="1"/>
  <c r="J76" i="28"/>
  <c r="J73" i="28" s="1"/>
  <c r="AB72" i="28"/>
  <c r="AB69" i="28" s="1"/>
  <c r="AB66" i="28" s="1"/>
  <c r="Z72" i="28"/>
  <c r="Z69" i="28" s="1"/>
  <c r="Z66" i="28" s="1"/>
  <c r="X72" i="28"/>
  <c r="X69" i="28" s="1"/>
  <c r="X66" i="28" s="1"/>
  <c r="R72" i="28"/>
  <c r="R69" i="28" s="1"/>
  <c r="R66" i="28" s="1"/>
  <c r="P72" i="28"/>
  <c r="P69" i="28" s="1"/>
  <c r="P66" i="28" s="1"/>
  <c r="N72" i="28"/>
  <c r="N69" i="28" s="1"/>
  <c r="N66" i="28" s="1"/>
  <c r="L72" i="28"/>
  <c r="L69" i="28" s="1"/>
  <c r="L66" i="28" s="1"/>
  <c r="J72" i="28"/>
  <c r="J69" i="28" s="1"/>
  <c r="J66" i="28" s="1"/>
  <c r="H72" i="28"/>
  <c r="AD38" i="28"/>
  <c r="AD36" i="28" s="1"/>
  <c r="AB38" i="28"/>
  <c r="AB36" i="28" s="1"/>
  <c r="Z38" i="28"/>
  <c r="Z36" i="28" s="1"/>
  <c r="X38" i="28"/>
  <c r="X36" i="28" s="1"/>
  <c r="V38" i="28"/>
  <c r="V36" i="28" s="1"/>
  <c r="T38" i="28"/>
  <c r="T36" i="28" s="1"/>
  <c r="R38" i="28"/>
  <c r="R36" i="28" s="1"/>
  <c r="P38" i="28"/>
  <c r="P36" i="28" s="1"/>
  <c r="N38" i="28"/>
  <c r="N36" i="28" s="1"/>
  <c r="L38" i="28"/>
  <c r="L36" i="28" s="1"/>
  <c r="J41" i="28"/>
  <c r="J38" i="28" s="1"/>
  <c r="J36" i="28" s="1"/>
  <c r="H41" i="28"/>
  <c r="B40" i="28"/>
  <c r="B39" i="28"/>
  <c r="X35" i="28"/>
  <c r="X84" i="28" s="1"/>
  <c r="T35" i="28"/>
  <c r="T84" i="28" s="1"/>
  <c r="R35" i="28"/>
  <c r="R84" i="28" s="1"/>
  <c r="L35" i="28"/>
  <c r="AD26" i="28"/>
  <c r="AD23" i="28" s="1"/>
  <c r="AB26" i="28"/>
  <c r="AB23" i="28" s="1"/>
  <c r="Z26" i="28"/>
  <c r="Z23" i="28" s="1"/>
  <c r="X26" i="28"/>
  <c r="X23" i="28" s="1"/>
  <c r="V26" i="28"/>
  <c r="V23" i="28" s="1"/>
  <c r="R26" i="28"/>
  <c r="R23" i="28" s="1"/>
  <c r="P26" i="28"/>
  <c r="P23" i="28" s="1"/>
  <c r="N26" i="28"/>
  <c r="N23" i="28" s="1"/>
  <c r="L26" i="28"/>
  <c r="L23" i="28" s="1"/>
  <c r="J26" i="28"/>
  <c r="J23" i="28" s="1"/>
  <c r="H26" i="28"/>
  <c r="B35" i="28" l="1"/>
  <c r="G33" i="28"/>
  <c r="C38" i="28"/>
  <c r="C36" i="28" s="1"/>
  <c r="C31" i="28"/>
  <c r="G31" i="28" s="1"/>
  <c r="B33" i="28"/>
  <c r="B31" i="28" s="1"/>
  <c r="G35" i="28"/>
  <c r="G72" i="28"/>
  <c r="C23" i="28"/>
  <c r="N76" i="28"/>
  <c r="N73" i="28" s="1"/>
  <c r="B76" i="28"/>
  <c r="B73" i="28" s="1"/>
  <c r="C76" i="28"/>
  <c r="C73" i="28" s="1"/>
  <c r="L31" i="28"/>
  <c r="L82" i="28"/>
  <c r="T31" i="28"/>
  <c r="T82" i="28"/>
  <c r="L84" i="28"/>
  <c r="B41" i="28"/>
  <c r="B38" i="28" s="1"/>
  <c r="B36" i="28" s="1"/>
  <c r="C69" i="28"/>
  <c r="C66" i="28" s="1"/>
  <c r="B72" i="28"/>
  <c r="B69" i="28" s="1"/>
  <c r="B66" i="28" s="1"/>
  <c r="L76" i="28"/>
  <c r="L73" i="28" s="1"/>
  <c r="R31" i="28"/>
  <c r="R82" i="28"/>
  <c r="X31" i="28"/>
  <c r="X82" i="28"/>
  <c r="H69" i="28"/>
  <c r="H66" i="28" s="1"/>
  <c r="H76" i="28"/>
  <c r="H73" i="28" s="1"/>
  <c r="H38" i="28"/>
  <c r="H36" i="28" s="1"/>
  <c r="H23" i="28"/>
  <c r="AD18" i="28"/>
  <c r="AB18" i="28"/>
  <c r="Z18" i="28"/>
  <c r="X18" i="28"/>
  <c r="V18" i="28"/>
  <c r="R18" i="28"/>
  <c r="P18" i="28"/>
  <c r="N18" i="28"/>
  <c r="L18" i="28"/>
  <c r="J18" i="28"/>
  <c r="H21" i="28"/>
  <c r="AD16" i="28"/>
  <c r="AB16" i="28"/>
  <c r="AB83" i="28" s="1"/>
  <c r="Z16" i="28"/>
  <c r="Z83" i="28" s="1"/>
  <c r="Z80" i="28" s="1"/>
  <c r="X16" i="28"/>
  <c r="V16" i="28"/>
  <c r="T16" i="28"/>
  <c r="T83" i="28" s="1"/>
  <c r="R16" i="28"/>
  <c r="R83" i="28" s="1"/>
  <c r="P16" i="28"/>
  <c r="N16" i="28"/>
  <c r="N83" i="28" s="1"/>
  <c r="L16" i="28"/>
  <c r="J16" i="28"/>
  <c r="H16" i="28"/>
  <c r="AB80" i="28" l="1"/>
  <c r="V83" i="28"/>
  <c r="G82" i="28"/>
  <c r="F82" i="28"/>
  <c r="G41" i="28"/>
  <c r="G26" i="28"/>
  <c r="R80" i="28"/>
  <c r="G79" i="28"/>
  <c r="G23" i="28"/>
  <c r="G84" i="28"/>
  <c r="N80" i="28"/>
  <c r="J13" i="28"/>
  <c r="J11" i="28" s="1"/>
  <c r="F16" i="28"/>
  <c r="H83" i="28"/>
  <c r="L13" i="28"/>
  <c r="P13" i="28"/>
  <c r="T80" i="28"/>
  <c r="X13" i="28"/>
  <c r="X11" i="28" s="1"/>
  <c r="C18" i="28"/>
  <c r="G18" i="28" s="1"/>
  <c r="H18" i="28"/>
  <c r="F41" i="28"/>
  <c r="H13" i="28"/>
  <c r="L11" i="28"/>
  <c r="T13" i="28"/>
  <c r="AB13" i="28"/>
  <c r="G21" i="28"/>
  <c r="N13" i="28"/>
  <c r="R13" i="28"/>
  <c r="V13" i="28"/>
  <c r="Z13" i="28"/>
  <c r="AD13" i="28"/>
  <c r="X46" i="28"/>
  <c r="X83" i="28" s="1"/>
  <c r="X80" i="28" s="1"/>
  <c r="L46" i="28"/>
  <c r="L43" i="28" s="1"/>
  <c r="J46" i="28"/>
  <c r="H28" i="28"/>
  <c r="P29" i="28"/>
  <c r="F33" i="28"/>
  <c r="F35" i="28"/>
  <c r="V80" i="28" l="1"/>
  <c r="P83" i="28"/>
  <c r="P80" i="28" s="1"/>
  <c r="C28" i="28"/>
  <c r="B46" i="28"/>
  <c r="B43" i="28" s="1"/>
  <c r="H11" i="28"/>
  <c r="B13" i="28"/>
  <c r="J83" i="28"/>
  <c r="L83" i="28"/>
  <c r="H80" i="28"/>
  <c r="C13" i="28"/>
  <c r="G13" i="28" s="1"/>
  <c r="G16" i="28"/>
  <c r="X43" i="28"/>
  <c r="B29" i="28"/>
  <c r="F29" i="28" s="1"/>
  <c r="P28" i="28"/>
  <c r="P11" i="28" s="1"/>
  <c r="J43" i="28"/>
  <c r="AD11" i="28"/>
  <c r="Z11" i="28"/>
  <c r="V11" i="28"/>
  <c r="R11" i="28"/>
  <c r="N11" i="28"/>
  <c r="AB11" i="28"/>
  <c r="B11" i="28" s="1"/>
  <c r="F13" i="28"/>
  <c r="F31" i="28"/>
  <c r="T11" i="28"/>
  <c r="L80" i="28" l="1"/>
  <c r="C83" i="28"/>
  <c r="B83" i="28"/>
  <c r="B80" i="28" s="1"/>
  <c r="F46" i="28"/>
  <c r="J80" i="28"/>
  <c r="C43" i="28"/>
  <c r="G43" i="28" s="1"/>
  <c r="G46" i="28"/>
  <c r="F11" i="28"/>
  <c r="G11" i="28"/>
  <c r="G38" i="28"/>
  <c r="G36" i="28" s="1"/>
  <c r="G76" i="28"/>
  <c r="G73" i="28" s="1"/>
  <c r="F72" i="28"/>
  <c r="F79" i="28"/>
  <c r="C80" i="28" l="1"/>
  <c r="G83" i="28"/>
  <c r="F83" i="28"/>
  <c r="F38" i="28"/>
  <c r="F36" i="28" s="1"/>
  <c r="F43" i="28"/>
  <c r="B26" i="28" l="1"/>
  <c r="F26" i="28" l="1"/>
  <c r="B23" i="28"/>
  <c r="B21" i="28"/>
  <c r="F21" i="28" s="1"/>
  <c r="F76" i="28" l="1"/>
  <c r="F73" i="28" s="1"/>
  <c r="B28" i="28"/>
  <c r="F28" i="28" s="1"/>
  <c r="G69" i="28" l="1"/>
  <c r="G66" i="28" s="1"/>
  <c r="F69" i="28" l="1"/>
  <c r="F66" i="28" s="1"/>
  <c r="B19" i="28"/>
  <c r="F23" i="28" l="1"/>
  <c r="B20" i="28" l="1"/>
  <c r="B18" i="28" l="1"/>
  <c r="F18" i="28" s="1"/>
  <c r="G80" i="28"/>
  <c r="F84" i="28" l="1"/>
  <c r="F85" i="28"/>
  <c r="F80" i="28"/>
</calcChain>
</file>

<file path=xl/sharedStrings.xml><?xml version="1.0" encoding="utf-8"?>
<sst xmlns="http://schemas.openxmlformats.org/spreadsheetml/2006/main" count="146" uniqueCount="77">
  <si>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</si>
  <si>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</si>
  <si>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</si>
  <si>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</si>
  <si>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</si>
  <si>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</si>
  <si>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</si>
  <si>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</si>
  <si>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</si>
  <si>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</si>
  <si>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</si>
  <si>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</si>
  <si>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</si>
  <si>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бюджет автономного округа</t>
  </si>
  <si>
    <t>бюджет города Когалыма</t>
  </si>
  <si>
    <t>Всего</t>
  </si>
  <si>
    <t>Итого по программе, в том числе</t>
  </si>
  <si>
    <t>Управление культуры, спорта и молодёжной политики Администрации города Когалыма</t>
  </si>
  <si>
    <t xml:space="preserve"> </t>
  </si>
  <si>
    <t>1.1.1."Организация и проведение спортивно-массовых мероприятий"</t>
  </si>
  <si>
    <t>1.1.2."Содержание муниципального автономного учреждения "Дворец спорта"</t>
  </si>
  <si>
    <t>1.1.3."Проведение мероприятий по внедрению ВФСК "ГТО" в городе Когалыме"</t>
  </si>
  <si>
    <t>Подпрограмма 2. "Развитие спорта высших достижений и системы подготовки спортивного резерва"</t>
  </si>
  <si>
    <t>"Развитие физической культуры и спорта в городе Когалыме"</t>
  </si>
  <si>
    <t>план</t>
  </si>
  <si>
    <t>1.1.5. Развитие материально-технической базы МАУ "Дворец спорта"</t>
  </si>
  <si>
    <t>привлеченные средства</t>
  </si>
  <si>
    <t>Основные мероприятия программы</t>
  </si>
  <si>
    <t>Комплексный план (сетевой график)</t>
  </si>
  <si>
    <t>по реализации  муниципальной программы</t>
  </si>
  <si>
    <t>тыс. рублей</t>
  </si>
  <si>
    <t>План на 2019 год</t>
  </si>
  <si>
    <t>Подпрограмма 1 "Развитие физической культуры и массового спорта"</t>
  </si>
  <si>
    <t>Подпрограмма 3 "Управление развитием отрасли физической культуры и спорта"</t>
  </si>
  <si>
    <t>федеральный бюджет</t>
  </si>
  <si>
    <t>1.1."Мероприятия по развитию физической культуры и спорта" (1,3,4,5,6,9)</t>
  </si>
  <si>
    <t>1.2. Обеспечение комплексной безопасности и комфортных условий в учреждениях физической культуры и спорта (1,2,3,4,5,6,7)</t>
  </si>
  <si>
    <t>1.2.1.Обеспечение хозяйственной деятельности учреждений спорта города Когалыма</t>
  </si>
  <si>
    <t>1.3. Поддержка некоммерческих организаций, реализующих проекты в сфере массовой физической культуры (1,3,4,5,6)</t>
  </si>
  <si>
    <t>2.1."Организация участия спортсменов города Когалыма в соревнованиях различного уровня  окружного и всероссийского масштаба" (1,3,5,6,7,8,9)</t>
  </si>
  <si>
    <t>3.1."Содержание секторов Управления культуры, спорта и молодёжной политики Администрации города Когалыма" (1)</t>
  </si>
  <si>
    <t>в т.ч. бюджет города Когама в части софинансирования</t>
  </si>
  <si>
    <t>Муниципальная программа "Развитие физической культуры и спорта в городе Когалыме"</t>
  </si>
  <si>
    <t>Исполнение, %</t>
  </si>
  <si>
    <t>к текущему году</t>
  </si>
  <si>
    <t>на отчетную дату</t>
  </si>
  <si>
    <t>кассовый расход</t>
  </si>
  <si>
    <t>Результаты реализации и причины отклонений факта от плана</t>
  </si>
  <si>
    <t>1.4.1. Строительство объекта: "Региональный центр спортивной подготовки в городе Когалыме", (в том числе проектно-изыскательские работы)</t>
  </si>
  <si>
    <t>1.4.2. Реконструкция здания расположенного по адресу: ул. Набережная, 59, под размещение спортивного комплекса,  (в том числе проектно-изыскательские работы)</t>
  </si>
  <si>
    <t>Произведена оплата труда персонала и начисления на выплаты по оплате труда,  выплачены социальные пособия и компенсации персоналу в денежной форме.</t>
  </si>
  <si>
    <t>в т.ч. бюджет города Когалыма в части софинансирования</t>
  </si>
  <si>
    <t xml:space="preserve">Постановление Администрации города Когалыма от 11.10.2013 №2920 </t>
  </si>
  <si>
    <t>Задачи 1,2. Повышение мотивации всех возрастных категорий и социальных групп граждан к регулярным занятиям физической культурой и массовым спортом. Обеспечение доступа жителям города Когалыма к современной спортивной инфраструктуре</t>
  </si>
  <si>
    <t>Задачи 2,3,4,5.   Обеспечение доступа жителям города Когалыма к современной инфраструктуре. Повышение доступности и качества спортивной подготовки детей и обеспечение прогресса спортивного резерва. Развитие детско-юношеского спорта. Создание условий для успешного выступления спортсменов города Когалыма на соревнованиях различного уровня. Популяризация спорта</t>
  </si>
  <si>
    <t>Задача 6. Обеспечение оптимизации деятельности Управления культуры, спорта и молодёжной политики и повышение эффективности бюджетных расходов.</t>
  </si>
  <si>
    <t>1.1.4. "Организация работы по присвоению спортивных разрядов, квалификационных категорий"</t>
  </si>
  <si>
    <t xml:space="preserve">1.4.3.Устройство спортивной площадки «Воркаут» </t>
  </si>
  <si>
    <t>В мае месяце приобретены квалификационные книжки (спортивный судья), знаки спортивного судьи. Договор  поставки №204 от 06.05.2019г.</t>
  </si>
  <si>
    <t>Ответственный за составление сетевого графика: гл.специалист ССП_____________________Е.В.Дульцева (тел.: 93-632)</t>
  </si>
  <si>
    <t>Начальник Управления культуры, спорта и молодежной политики _______________________________А.А.Логинова</t>
  </si>
  <si>
    <t xml:space="preserve">В марте месяце перечислена субсидия из бюджета г.Когалыма городской общественной организации «Когалымский Боксерский Клуб Патриот»  в размере 137,90 тыс. руб.                                          В мае месяце перечислена субсидия из бюджета г.Когалыма МОО "Федерация лыжных гонок г. Когалыма"  в размере 46,50 тыс. руб.                                                                                           В ноябре месяце перечислена субсидия из бюджета г.Когалыма МОО "Когалымская Федерация Детского Хоккеея" в размере 112,20 тыс. руб.          </t>
  </si>
  <si>
    <t>Проведен открытый аукцион в электронной форме на право заключения договора на устройство спортивной площадки «Воркаут» размером 12х24м на территории Дворца спорта в результате проведенной процедуры заключен договор 10/05/19/ЗК от 27.05.2019 г. на сумму 3 500 000 (три миллиона пятьсот тысяч) рублей 00 копеек.Денежные средства освоены в полном объёме в августе месяце.</t>
  </si>
  <si>
    <t>На отчетную дату по данному объекту заключен контракт от 05.04.2019 №19ДО292 по реконструкции объекта на сумму 7 000,0 тыс. руб. На основании контракта перечислен аванс в размере 50%. Окончание работ 10.12.2019. На отчетную дату работы выполнены и оплачены в полном объеме.</t>
  </si>
  <si>
    <t>План на 01.01.2020</t>
  </si>
  <si>
    <t>Профинансировано на 01.01.2020</t>
  </si>
  <si>
    <t>Кассовый расход на 01.01.2020</t>
  </si>
  <si>
    <t xml:space="preserve">В марте месяце произведена оплата за приобретение товаров (лыжи беговые, ботинки и т.д.) на сумму 23,49 тыс. руб., согласно договора № 19ДС- 26 от 19.02.2019 г.  В августе 2019 года израсходована сумма 0,06 тыс. руб. на поставку спорт. товара в рамках проекта (инициативы) граждан по вопросам местного значения в г. Когалыме (лыжероллеры, крепления для роллеров, наконечники для палок, шлем защитный). В июле месяце 2019 года израсходована сумма 14,48 тыс. руб. на приобретение жерди женской углестеклопластиковая (заключен договор 19 ДС-132 от 07.06.2019) и на приобретение покрытия на бревно с люверсами (заключен договор 19 ДС-132 от 07.06.2019). В сентябре месяце 2019 года денежные средства в размере 1,77 тыс. руб. израсходованы на приобретение спорт. экипировки (куртка для самбо договор № 19ДС-179 от 05.09.2019 г.). На декабрь месяц денежные средства не запланированы. </t>
  </si>
  <si>
    <t>Кассовый расход сформировался меньше планового в связи с образованием вакантных ставок (уборщик территорий, уборщик служебных помещений, подсобный рабочий), листов временной нетрудоспособности. неиспользованием сотрудниками права на компенсацию расходов на санаторно-курортное лечение, проезд к месту отдыха и обратно, остатком по приобретению спецодежды.  Произведена оплата труда персонала и начисления на выплаты по оплате труда, проезда в отпуск и обратно, пособия по временной нетрудоспособности, увеличение стоимости мягкого инвентаря, медецинские услуги.</t>
  </si>
  <si>
    <t xml:space="preserve">Приобретены поощрительные призы и наградная атрибутика для победителей соревнований, договор 19 ДС-3 от 15.01.2019 г. с ООО "Восход".                                                                                              В июле месяце израсходовано денежных средств в размере  199,54 тыс. руб на.  Приобретены поощрительные призы и наградная атрибутика для победителей соревнований, договор 19ДС-152 от 02.07.2019г. с ООО "Спортивная Элита".                                                                                   В сентябре месяце израсходовано денежных средств в размере  219,80 тыс. руб (оплата по договорам ГПХ за август месяц).                                                                                                               В октябре месяце произведена оплата по договорам ГПХ.                                                                                                            В ноябре месяце израсходовано денежных средств в размере  328,10 тыс. руб, произведена оплата по договорам ГПХ. На текущую дату образовался остаток денежных средств в размере 474,24 тыс. руб.: 
-оплата услуг по мед. сопровождению соревнований, согласно выставленных счетов; 
-оплата по договорам ГПХ за ноябрь месяц будет осуществлена в декабре 2019 года.                                   В декабре месяце израсходовано денежных средств в размере 444,48 тыс. руб. Перерасход денежных средств в размере 192,90 тыс. руб. в связи с оплатой по договорам ГПХ за ноябрь-декабрь 2019 год. На текущую дату образовалася экономия денежных средств в размере 281,34 тыс. руб.: 
-оплата услуг по мед. сопровождению соревнований, согласно фактически оказанным услугам; 
-оплата по договорам ГПХ в связи с меньшим количеством дней по проведению соревнований и соответственно меньшего количества человек в судейской бригаде, задействованные в проведении спортивных мероприятий.                                </t>
  </si>
  <si>
    <t>На текущую дату образовался остаток денежных средств в размере 5 927,05 тыс. руб. из них:
по оплате и начислениям на оплату труда работников в сумме в связи с предоставлением больничных листов, наличием вакантных мест;
по услуге предоставления местной связи в связи с использованием меньшего количества минут местных телефонных соединений;
по электроэнергии, согласно приборов учета;
по водоснабжению, согласно приборов учета
по уборке снега согласно фактически предоставленным услугам;
оплата на заправку картриджей, оплата будет произведена после предоставления платежных документов;
по оплате  пособий за первые три дня временной нетрудоспособности за счет средств работодателя, в связи с не предоставлением больничных листов; 
 исследование воды в чащах бассейнов согласно условию договора оплата производится поквартально;
по заточке ножей льдоуборочной машины оплата будет произведена после предоставления платежных документов;
 на проезд льготного отпуска, согласно предоставленных документов; 
 компенсация санаторно-курортного лечения, согласно предоставленных документов; 
мед.услуги, согласно фактически оказанным услугам;
прочее приобретение. 
Экономия денежных средств в связи с проведением закупочной процедуры по физ.охране объектов МАУ "Дворец спорта".</t>
  </si>
  <si>
    <t xml:space="preserve">В феврале месяце произведена оплата за поставку поощрительных призов.                                      В марте месяце перерасход денежных средств связан  с оплатой по договрам ГПХ в марте месяце за февраль 2019 г.                                                                                                                                                В мае месяце 2019 года запланирована сумма в размере 25,60 тыс. руб., израсходовано 52,48 тыс.руб.  Перерасход денежных средств в размере 26,88 тыс. рублей в связи с оплатой по договорам ГПХ за апрель месяц 2019 год.                                                                                                  В августе месяце 2019 года запланирована сумма  32,00 тыс. руб. израсходована в полном объеме на приобретение поощрительных призов (Договор № 19ДС-160 от 16.07.2019 г.).                                       В сентябре месяце 2019 года запланирована сумма  8,80 тыс. руб. израсходована 15,60 тыс. руб. на выезд команды города Когалыма участников  Межнационального фестиваля ВФСК "ГТО" среди команд муниципальных образований ХМАО-Югры, ІI этап (регионального) летнего Фестиваля ВФСК "ГТО" среди лиц занятых трудовой деятельностью, неработающего населения и пенсионеров ХМАО-Югры. В октябре месяце 2019 года запланирована сумма  35,96 тыс. руб. израсходована 20,30 тыс. руб.  На текущую дату образовался остаток денежных средств в размере 36,61 тыс.руб.:
- по договорам ГПХ в связи с меньшим количеством заявленных команд в размере 24,01 тыс. руб.;
- по мед. обслуживанию, согласно выставленных счетов МБУ "КГБ" в размере 12,6 тыс. руб.
 В ноябре месяце 2019 года запланирована сумма  19,02 тыс. руб. израсходована 11,63 тыс. руб.  На текущую дату образовался остаток денежных средств в размере 115,92 тыс.руб.:
- по договорам ГПХ в связи с меньшим количеством заявленных команд в размере 38,59 тыс. руб.;
- по мед. обслуживанию, согласно выставленных счетов МБУ "КГБ" в размере 19,78 тыс. руб.
Экономия денежных средств в размере 57,55 тыс. руб. в связи с изменениями в положении о проведении 2 этапа (регионального) Зимнего фестиваля ВФСК "ГТО" среди семейных команд, в результате чего был организован выезд согласно положения семьи Никифоровых, проезд за счет МБУ "КСАТ".
В декабре месяце 2019 года запланирована сумма  17,44 тыс. руб. израсходована 115,15 тыс. руб.  на приобретение спортивного инвентаря и судейской экипировки для организации приема нормативов комплекса ВФСК "ГТО", а так же приобретения поощрительных призов для награждения победителей новогоднего конкурса рисунков на тему ВФСК "ГТО" (Письмо на Главу города исх. №1219 от 22.11.2019 г.).  На текущую дату образовался остаток денежных средств в размере 18,22 тыс.руб.:
- по договорам ГПХ в связи с меньшим количеством заявленных команд;
- оплата услуг по мед. сопровождению соревнований, согласно фактически оказанным услугам. </t>
  </si>
  <si>
    <t xml:space="preserve"> В марте 2019 года израсходована сумма в размере 23,49 тыс. руб. на приобретение спорт товара (лыжи беговые, ботинки договор 19 ДС-26 от 19.02.2019 г.).  В мае месяце 2019 года израсходована сумма в размере 793,14 тыс. руб. на поставку товара  в рамках проекта (инициативы) граждан по вопросам местного значения в г. Когалыме (Лыжи беговые, палки беговые, ботинки лыжные, крепления, лыжероллеры, перчатки, шлем, тренажер лыжный, стол для обработки лыж, станок-профиль, утюг смазочный, фартук смазчика Договор 19 ДС-83 от 17.05.2019 г.). В июне месяце произведена оплата за приобретение товаров (баннер) на сумму 150, тыс. руб., согласно договора № 19ДС- 111 от 17.05.2019 г. В июле 2019 года израсходована сумма 14,48 тыс. руб. на приобретение жерди женской углестеклопластиковая (заключен договор 19 ДС-132 от 07.06.2019) и на приобретение покрытия на бревно с люверсами (заключен договор 19 ДС-132 от 07.06.2019).   В августе 2019 года израсходована сумма 206,40 тыс. руб. на поставку спорт. товара в рамках проекта (инициативы) граждан по вопросам местного значения в г. Когалыме (лыжероллеры, крепления для роллеров, наконечники для палок, шлем защитный).   В сентябре месяце 2019 года денежные средства в размере 1,77 тыс. руб. израсходованы на приобретение спорт. экипировки (куртка для самбо договор № 19ДС-179 от 05.09.2019 г.).    В октябре месяце 2019 года денежные средства не запланированы. В сентябре месяце 2019 года денежные средства в размере 1,77 тыс. руб. израсходованы на приобретение спорт. экипировки (куртка для самбо договор № 19ДС-179 от 05.09.2019 г.). В декабре месяце 2019 года денежные средства в размере 2000,00 тыс.руб. израсходованы на поставку автобуса, предназначенного для организованной перевозки групп детей по маршрутам междугороднего сообщения по извещению (договор № 09/05/19-Зк с ООО «Компания УРАЛКАМ»). </t>
  </si>
  <si>
    <t xml:space="preserve"> В мае месяце 2019 года израсходована сумма в размере 634,48 тыс. руб. на поставку товара (верт.велотренаж. Договор 19ДС-92 от 26.04.2019 г., лыжи беговые договор 19ДС-26 от 19.02.209 г.). В июне 2019 года израсходована сумма в размере  211,00 тыс. руб. (комбинированный станок договор № 19 ДС-91 от 26.04.2019 г.).  В июле 2019 года израсходована сумма в размере 275,15 тыс. рублей на приобретение жерди женской углестеклопластиковая (заключен договор 19 ДС-132 от 07.06.2019) и на приобретение покрытия на бревно с люверсами (заключен договор 19 ДС-132 от 07.06.2019).  В августе 2019 года израсходована сумма за июль месяц в размере 1,20 тыс. руб. на приобретение спорт. товара (гимнастическая скакалка договор № 19ДС-154 от 05.07.2019 г.). В сентябре месяце 2019 года денежные средства в размере 33,56 тыс. руб. израсходованы на приобретение спорт. экипировки (куртка для самбо договор № 19ДС-179 от 05.09.2019 г.),   В декабре 2019 года израсходована сумма в размере 5 300,00 тыс. руб. из них: сумма 300,00 тыс. руб. на приобретение матов для спортивной гимнастики ( ООО "СпортКомплексСервис" договор 19ДС-213 от 30.10.2019 г.), сумма 5 000,00 тыс. руб. оплата за поставку автобуса, предназначенного для организованной перевозки групп детей по маршрутам междугороднего сообщения (договор № 09/05/19-Зк с ООО «Компания УРАЛКАМ»).                        </t>
  </si>
  <si>
    <t xml:space="preserve">Израсходована 9,4 тыс. руб. на приобретение сух.пайков на август месяц.                                           В сентябре 2019 года запланирована сумма в размере 371,75 тыс. руб., израсходована сумма в размере 212,38 тыс.руб. На текущую дату образовался остаток денежных средств в размере 637,40 тыс. рублей в результате переноса соревнования  на более поздний срок (Открытый окружной турнир по волейболу среди юношей 2002-2003  гг.р.; Финальное первенство автономного округа по мини-футболу среди юношей 2001-2002 г.р. Сезон 2018-2019 год; Первенство округа по баскетболу среди юниорок до 17 лет (2003-2005 гг.р.), в зачет XIV Спартакиады учащихся Ханты-Мансийского автономного округа – Югры, посвященной 74-ой годовщине Победы в Великой Отечественной войне, отбор на первенство России  сезон 2019-2020 г.; Чемпионат и первенство округа по классическому пауэрлифтингу (троеборью) среди  мужчин, женщин и ветеранов, девушек и юниоров до 23 лет, девушек и  юношей до 18 лет;Первенство Ханты-Мансийского автономного округа – Югры 2019 года по шахматам среди мальчиков и девочек до  11, 13 лет, юношей и девушек до 15, 17, 19 лет, девочки и мальчики  до 11 и до 13 лет, в зачёт Спартакиады Ханты-Мансийского автономного округа – Югры  «Спортивные таланты Югры» в 2019 году). 
В октябре 2019 года денежные средства не запланированы. В ноябре 2019 года запланирована сумма в размере 281,30 тыс. руб., израсходована сумма в размере 456,17 тыс.руб. Перерасход денежных средств в размере 174,87 тыс. руб. образовался в связи с тем, что выезды на соревнования, включенные в Единый календарный план ХМАО - Югры, осуществлялись за счет сэкономленных денежных средств. В декабре 2019 года израсходована сумма в размере 248,36 тыс.руб. Перерасход денежных средств в размере 248,36 тыс. руб. образовался в связи с тем, что выезд на соревнования, запланированные в ЕКП ХМАО-Югры осуществлялся за счет экономии денежных средств. На текущую дату сложилась экономия денежных средств в размере 17,19 тыс. руб.  в связи с меньшим количеством дней на соревнованиях по причине меньшего количества заявленных команд либо участников соревнований; с неполным составом команды, по причине болезни участника; фактически предоставленным отчетным документом за проживание. </t>
  </si>
  <si>
    <t>На отчетную дату по данному объекту ведется исполнение следующих контрактов:                          1. Контракт РЦСП-384/18-СП357 от 07.09.2018 на выполнение проектных работ для объекта. Стоимость работ по контракту 13 347,00 тыс.руб. (кассовые расходы по контракту на 01.01.2019 составили 5 388,88 тыс.руб.). Срок окончания работ по 12.04.2019. Работы ведутся с нарушением графика выполненных работ.                                                                                                                         2. Контракт 1 от 15.01.2018 на выполнение проектных работ для объекта. Стоимость работ по контракту 11 934,27 тыс.руб. (кассовые расходы по контракту на 01.01.2019 составили 9 527,09 тыс.руб.). Срок оказания услуг по 05.04.2019. Работы выполнены с нарушением сроков, выставлена и оплачена подрядчиком неустойка в размере 264,33 тыс.руб.                                                   Работы оплачены в полном объеме. В связи с принятием решения об исполнении функций заказчика Государственным казенным учреждением ХМАО-Югры "Управление капитального строительства", бюджетные ассигнования в сумме 138 564,00 тыс. руб. закрыты согласно решению Думы г.Когалыма от 18.12.2019 №370-ГД.</t>
  </si>
  <si>
    <t>1.4. Региональный проект «Спорт – норма жизни» (2)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</si>
</sst>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_ ;[Red]\-#,##0.0\ "/>
    <numFmt numFmtId="165" formatCode="0.0"/>
  </numFmts>
  <fonts count="16" x14ac:knownFonts="1">
    <font>
      <sz val="10"/>
      <name val="Arial"/>
    </font>
    <font>
      <sz val="10"/>
      <name val="Times New Roman"/>
      <family val="1"/>
      <charset val="204"/>
    </font>
    <font>
      <sz val="18"/>
      <name val="Times New Roman"/>
      <family val="1"/>
      <charset val="204"/>
    </font>
    <font>
      <sz val="15"/>
      <name val="Times New Roman"/>
      <family val="1"/>
      <charset val="204"/>
    </font>
    <font>
      <sz val="13"/>
      <name val="Times New Roman"/>
      <family val="1"/>
      <charset val="204"/>
    </font>
    <font>
      <i/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4"/>
      <name val="Arial"/>
      <family val="2"/>
      <charset val="204"/>
    </font>
    <font>
      <b/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sz val="11"/>
      <name val="Times New Roman"/>
      <family val="1"/>
      <charset val="204"/>
    </font>
    <font>
      <sz val="14"/>
      <color theme="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131">
    <xf numFmtId="0" fontId="0" fillId="0" borderId="0" xfId="0"/>
    <xf numFmtId="0" fontId="1" fillId="0" borderId="0" xfId="0" applyFont="1"/>
    <xf numFmtId="0" fontId="7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Alignment="1">
      <alignment vertical="center" wrapText="1"/>
    </xf>
    <xf numFmtId="164" fontId="7" fillId="0" borderId="0" xfId="0" applyNumberFormat="1" applyFont="1" applyFill="1" applyAlignment="1">
      <alignment vertical="center" wrapText="1"/>
    </xf>
    <xf numFmtId="0" fontId="7" fillId="0" borderId="0" xfId="0" applyFont="1" applyFill="1" applyAlignment="1">
      <alignment horizontal="justify" vertical="center" wrapText="1"/>
    </xf>
    <xf numFmtId="0" fontId="7" fillId="2" borderId="0" xfId="0" applyFont="1" applyFill="1" applyAlignment="1">
      <alignment vertical="center" wrapText="1"/>
    </xf>
    <xf numFmtId="164" fontId="7" fillId="2" borderId="0" xfId="0" applyNumberFormat="1" applyFont="1" applyFill="1" applyAlignment="1">
      <alignment vertical="center" wrapText="1"/>
    </xf>
    <xf numFmtId="164" fontId="7" fillId="0" borderId="0" xfId="0" applyNumberFormat="1" applyFont="1" applyFill="1" applyAlignment="1">
      <alignment vertical="center" wrapText="1"/>
    </xf>
    <xf numFmtId="164" fontId="7" fillId="0" borderId="0" xfId="0" applyNumberFormat="1" applyFont="1" applyFill="1" applyAlignment="1">
      <alignment vertical="center" wrapText="1"/>
    </xf>
    <xf numFmtId="4" fontId="8" fillId="0" borderId="0" xfId="0" applyNumberFormat="1" applyFont="1" applyFill="1" applyBorder="1" applyAlignment="1">
      <alignment vertical="center" wrapText="1"/>
    </xf>
    <xf numFmtId="164" fontId="7" fillId="3" borderId="0" xfId="0" applyNumberFormat="1" applyFont="1" applyFill="1" applyAlignment="1">
      <alignment vertical="center" wrapText="1"/>
    </xf>
    <xf numFmtId="0" fontId="11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164" fontId="12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right" wrapText="1"/>
    </xf>
    <xf numFmtId="4" fontId="9" fillId="0" borderId="1" xfId="0" applyNumberFormat="1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wrapText="1"/>
    </xf>
    <xf numFmtId="4" fontId="12" fillId="0" borderId="0" xfId="0" applyNumberFormat="1" applyFont="1" applyFill="1" applyAlignment="1">
      <alignment horizontal="left" vertical="center" wrapText="1"/>
    </xf>
    <xf numFmtId="164" fontId="9" fillId="0" borderId="0" xfId="0" applyNumberFormat="1" applyFont="1" applyFill="1" applyAlignment="1">
      <alignment vertical="center" wrapText="1"/>
    </xf>
    <xf numFmtId="0" fontId="9" fillId="3" borderId="0" xfId="0" applyFont="1" applyFill="1" applyAlignment="1">
      <alignment vertical="center" wrapText="1"/>
    </xf>
    <xf numFmtId="4" fontId="9" fillId="0" borderId="0" xfId="0" applyNumberFormat="1" applyFont="1" applyFill="1" applyAlignment="1">
      <alignment vertical="center" wrapText="1"/>
    </xf>
    <xf numFmtId="0" fontId="9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vertical="center" wrapText="1"/>
    </xf>
    <xf numFmtId="164" fontId="9" fillId="0" borderId="0" xfId="0" applyNumberFormat="1" applyFont="1" applyFill="1" applyAlignment="1">
      <alignment horizontal="left" vertical="center" wrapText="1"/>
    </xf>
    <xf numFmtId="1" fontId="9" fillId="0" borderId="3" xfId="0" applyNumberFormat="1" applyFont="1" applyFill="1" applyBorder="1" applyAlignment="1">
      <alignment horizontal="center" vertical="center" wrapText="1"/>
    </xf>
    <xf numFmtId="4" fontId="12" fillId="4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wrapText="1"/>
    </xf>
    <xf numFmtId="0" fontId="12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right" vertical="center" wrapText="1"/>
    </xf>
    <xf numFmtId="0" fontId="11" fillId="0" borderId="0" xfId="0" applyFont="1" applyFill="1" applyAlignment="1">
      <alignment vertical="center" wrapText="1"/>
    </xf>
    <xf numFmtId="164" fontId="9" fillId="0" borderId="0" xfId="0" applyNumberFormat="1" applyFont="1" applyFill="1" applyAlignment="1">
      <alignment horizontal="left" vertical="center" wrapText="1"/>
    </xf>
    <xf numFmtId="0" fontId="9" fillId="0" borderId="4" xfId="0" applyFont="1" applyFill="1" applyBorder="1" applyAlignment="1">
      <alignment horizontal="right" vertical="center" wrapText="1"/>
    </xf>
    <xf numFmtId="164" fontId="12" fillId="3" borderId="1" xfId="0" applyNumberFormat="1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vertical="center" wrapText="1"/>
    </xf>
    <xf numFmtId="164" fontId="9" fillId="0" borderId="1" xfId="0" applyNumberFormat="1" applyFont="1" applyFill="1" applyBorder="1" applyAlignment="1">
      <alignment vertical="center" wrapText="1"/>
    </xf>
    <xf numFmtId="0" fontId="9" fillId="0" borderId="0" xfId="0" applyFont="1" applyFill="1" applyAlignment="1">
      <alignment horizontal="right" vertical="center" wrapText="1"/>
    </xf>
    <xf numFmtId="0" fontId="8" fillId="0" borderId="1" xfId="0" applyFont="1" applyFill="1" applyBorder="1" applyAlignment="1">
      <alignment vertical="center" wrapText="1"/>
    </xf>
    <xf numFmtId="4" fontId="9" fillId="5" borderId="1" xfId="0" applyNumberFormat="1" applyFont="1" applyFill="1" applyBorder="1" applyAlignment="1">
      <alignment horizontal="center" vertical="center" wrapText="1"/>
    </xf>
    <xf numFmtId="4" fontId="9" fillId="5" borderId="1" xfId="0" applyNumberFormat="1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justify" vertical="center" wrapText="1"/>
    </xf>
    <xf numFmtId="4" fontId="11" fillId="0" borderId="0" xfId="0" applyNumberFormat="1" applyFont="1" applyFill="1" applyAlignment="1">
      <alignment horizontal="center" vertical="center" wrapText="1"/>
    </xf>
    <xf numFmtId="4" fontId="11" fillId="0" borderId="0" xfId="0" applyNumberFormat="1" applyFont="1" applyFill="1" applyAlignment="1">
      <alignment vertical="center" wrapText="1"/>
    </xf>
    <xf numFmtId="0" fontId="12" fillId="0" borderId="6" xfId="0" applyFont="1" applyFill="1" applyBorder="1" applyAlignment="1" applyProtection="1">
      <alignment horizontal="left" vertical="center" wrapText="1"/>
    </xf>
    <xf numFmtId="0" fontId="12" fillId="0" borderId="7" xfId="0" applyFont="1" applyFill="1" applyBorder="1" applyAlignment="1" applyProtection="1">
      <alignment horizontal="left" vertical="center" wrapText="1"/>
    </xf>
    <xf numFmtId="0" fontId="9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vertical="center" wrapText="1"/>
    </xf>
    <xf numFmtId="4" fontId="13" fillId="0" borderId="0" xfId="0" applyNumberFormat="1" applyFont="1" applyFill="1" applyAlignment="1">
      <alignment vertical="center" wrapText="1"/>
    </xf>
    <xf numFmtId="0" fontId="12" fillId="0" borderId="1" xfId="0" applyFont="1" applyFill="1" applyBorder="1" applyAlignment="1" applyProtection="1">
      <alignment horizontal="left" vertical="center" wrapText="1"/>
    </xf>
    <xf numFmtId="0" fontId="12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justify" wrapText="1"/>
    </xf>
    <xf numFmtId="0" fontId="9" fillId="5" borderId="1" xfId="0" applyFont="1" applyFill="1" applyBorder="1" applyAlignment="1">
      <alignment horizontal="left" wrapText="1"/>
    </xf>
    <xf numFmtId="4" fontId="14" fillId="0" borderId="3" xfId="0" applyNumberFormat="1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justify" vertical="center" wrapText="1"/>
    </xf>
    <xf numFmtId="0" fontId="9" fillId="0" borderId="1" xfId="0" applyFont="1" applyFill="1" applyBorder="1" applyAlignment="1">
      <alignment horizontal="justify" vertical="center" wrapText="1"/>
    </xf>
    <xf numFmtId="4" fontId="14" fillId="0" borderId="1" xfId="0" applyNumberFormat="1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justify" wrapText="1"/>
    </xf>
    <xf numFmtId="2" fontId="7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164" fontId="9" fillId="0" borderId="0" xfId="0" applyNumberFormat="1" applyFont="1" applyFill="1" applyBorder="1" applyAlignment="1">
      <alignment horizontal="left" vertical="center" wrapText="1"/>
    </xf>
    <xf numFmtId="164" fontId="9" fillId="0" borderId="0" xfId="0" applyNumberFormat="1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9" fillId="3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justify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164" fontId="7" fillId="0" borderId="0" xfId="0" applyNumberFormat="1" applyFont="1" applyFill="1" applyBorder="1" applyAlignment="1">
      <alignment vertical="center" wrapText="1"/>
    </xf>
    <xf numFmtId="164" fontId="7" fillId="3" borderId="0" xfId="0" applyNumberFormat="1" applyFont="1" applyFill="1" applyBorder="1" applyAlignment="1">
      <alignment vertical="center" wrapText="1"/>
    </xf>
    <xf numFmtId="165" fontId="9" fillId="5" borderId="1" xfId="0" applyNumberFormat="1" applyFont="1" applyFill="1" applyBorder="1" applyAlignment="1">
      <alignment horizontal="center" vertical="center" wrapText="1"/>
    </xf>
    <xf numFmtId="165" fontId="9" fillId="0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4" fontId="12" fillId="0" borderId="2" xfId="0" applyNumberFormat="1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vertical="center" wrapText="1"/>
    </xf>
    <xf numFmtId="4" fontId="15" fillId="0" borderId="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4" fontId="14" fillId="0" borderId="2" xfId="0" applyNumberFormat="1" applyFont="1" applyFill="1" applyBorder="1" applyAlignment="1">
      <alignment horizontal="left" vertical="top" wrapText="1"/>
    </xf>
    <xf numFmtId="4" fontId="14" fillId="0" borderId="8" xfId="0" applyNumberFormat="1" applyFont="1" applyFill="1" applyBorder="1" applyAlignment="1">
      <alignment horizontal="left" vertical="top" wrapText="1"/>
    </xf>
    <xf numFmtId="4" fontId="14" fillId="0" borderId="3" xfId="0" applyNumberFormat="1" applyFont="1" applyFill="1" applyBorder="1" applyAlignment="1">
      <alignment horizontal="left" vertical="top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left" vertical="center" wrapText="1"/>
    </xf>
    <xf numFmtId="4" fontId="1" fillId="0" borderId="8" xfId="0" applyNumberFormat="1" applyFont="1" applyFill="1" applyBorder="1" applyAlignment="1">
      <alignment horizontal="left" vertical="center" wrapText="1"/>
    </xf>
    <xf numFmtId="4" fontId="1" fillId="0" borderId="3" xfId="0" applyNumberFormat="1" applyFont="1" applyFill="1" applyBorder="1" applyAlignment="1">
      <alignment horizontal="left" vertical="center" wrapText="1"/>
    </xf>
    <xf numFmtId="4" fontId="9" fillId="0" borderId="8" xfId="0" applyNumberFormat="1" applyFont="1" applyFill="1" applyBorder="1" applyAlignment="1">
      <alignment horizontal="left" vertical="top" wrapText="1"/>
    </xf>
    <xf numFmtId="4" fontId="9" fillId="0" borderId="3" xfId="0" applyNumberFormat="1" applyFont="1" applyFill="1" applyBorder="1" applyAlignment="1">
      <alignment horizontal="left" vertical="top" wrapText="1"/>
    </xf>
    <xf numFmtId="164" fontId="12" fillId="0" borderId="5" xfId="0" applyNumberFormat="1" applyFont="1" applyFill="1" applyBorder="1" applyAlignment="1">
      <alignment horizontal="center" vertical="center" wrapText="1"/>
    </xf>
    <xf numFmtId="164" fontId="12" fillId="0" borderId="7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164" fontId="12" fillId="0" borderId="2" xfId="0" applyNumberFormat="1" applyFont="1" applyFill="1" applyBorder="1" applyAlignment="1">
      <alignment horizontal="center" vertical="center" wrapText="1"/>
    </xf>
    <xf numFmtId="164" fontId="12" fillId="0" borderId="3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right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vertical="center" wrapText="1"/>
    </xf>
    <xf numFmtId="164" fontId="9" fillId="0" borderId="0" xfId="0" applyNumberFormat="1" applyFont="1" applyFill="1" applyBorder="1" applyAlignment="1">
      <alignment horizontal="left" vertical="center" wrapText="1"/>
    </xf>
    <xf numFmtId="0" fontId="12" fillId="0" borderId="5" xfId="0" applyFont="1" applyFill="1" applyBorder="1" applyAlignment="1" applyProtection="1">
      <alignment horizontal="left" vertical="center" wrapText="1"/>
    </xf>
    <xf numFmtId="0" fontId="12" fillId="0" borderId="6" xfId="0" applyFont="1" applyFill="1" applyBorder="1" applyAlignment="1" applyProtection="1">
      <alignment horizontal="left" vertical="center" wrapText="1"/>
    </xf>
    <xf numFmtId="0" fontId="12" fillId="0" borderId="7" xfId="0" applyFont="1" applyFill="1" applyBorder="1" applyAlignment="1" applyProtection="1">
      <alignment horizontal="left" vertical="center" wrapText="1"/>
    </xf>
    <xf numFmtId="0" fontId="12" fillId="0" borderId="5" xfId="0" applyFont="1" applyFill="1" applyBorder="1" applyAlignment="1">
      <alignment horizontal="left" vertical="top" wrapText="1"/>
    </xf>
    <xf numFmtId="0" fontId="12" fillId="0" borderId="6" xfId="0" applyFont="1" applyFill="1" applyBorder="1" applyAlignment="1">
      <alignment horizontal="left" vertical="top" wrapText="1"/>
    </xf>
    <xf numFmtId="0" fontId="12" fillId="0" borderId="7" xfId="0" applyFont="1" applyFill="1" applyBorder="1" applyAlignment="1">
      <alignment horizontal="left" vertical="top" wrapText="1"/>
    </xf>
    <xf numFmtId="0" fontId="13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66CCFF"/>
      <color rgb="FFFFCC99"/>
      <color rgb="FFFFFF99"/>
      <color rgb="FFFF99FF"/>
      <color rgb="FFCCFFFF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workbookViewId="0">
      <selection activeCell="N28" sqref="N27:N28"/>
    </sheetView>
  </sheetViews>
  <sheetFormatPr defaultColWidth="9.140625" defaultRowHeight="12.75" x14ac:dyDescent="0.2"/>
  <cols>
    <col min="1" max="7" width="9.140625" style="1"/>
    <col min="8" max="8" width="0" style="1" hidden="1" customWidth="1"/>
    <col min="9" max="16384" width="9.140625" style="1"/>
  </cols>
  <sheetData>
    <row r="1" spans="1:14" ht="18.75" x14ac:dyDescent="0.3">
      <c r="A1" s="97"/>
      <c r="B1" s="97"/>
    </row>
    <row r="10" spans="1:14" ht="45" customHeight="1" x14ac:dyDescent="0.35">
      <c r="A10" s="99" t="s">
        <v>17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</row>
    <row r="11" spans="1:14" ht="16.5" customHeight="1" x14ac:dyDescent="0.35">
      <c r="A11" s="98"/>
      <c r="B11" s="98"/>
      <c r="C11" s="98"/>
      <c r="D11" s="98"/>
      <c r="E11" s="98"/>
      <c r="F11" s="98"/>
      <c r="G11" s="98"/>
      <c r="H11" s="98"/>
      <c r="I11" s="98"/>
    </row>
    <row r="13" spans="1:14" ht="27" customHeight="1" x14ac:dyDescent="0.3">
      <c r="A13" s="94" t="s">
        <v>28</v>
      </c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</row>
    <row r="14" spans="1:14" ht="27" customHeight="1" x14ac:dyDescent="0.3">
      <c r="A14" s="94" t="s">
        <v>29</v>
      </c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</row>
    <row r="15" spans="1:14" ht="40.5" customHeight="1" x14ac:dyDescent="0.3">
      <c r="A15" s="95" t="s">
        <v>23</v>
      </c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</row>
    <row r="46" spans="1:9" ht="16.5" x14ac:dyDescent="0.25">
      <c r="A46" s="96"/>
      <c r="B46" s="96"/>
      <c r="C46" s="96"/>
      <c r="D46" s="96"/>
      <c r="E46" s="96"/>
      <c r="F46" s="96"/>
      <c r="G46" s="96"/>
      <c r="H46" s="96"/>
      <c r="I46" s="96"/>
    </row>
    <row r="47" spans="1:9" ht="16.5" x14ac:dyDescent="0.25">
      <c r="A47" s="96"/>
      <c r="B47" s="96"/>
      <c r="C47" s="96"/>
      <c r="D47" s="96"/>
      <c r="E47" s="96"/>
      <c r="F47" s="96"/>
      <c r="G47" s="96"/>
      <c r="H47" s="96"/>
      <c r="I47" s="96"/>
    </row>
  </sheetData>
  <mergeCells count="8">
    <mergeCell ref="A14:N14"/>
    <mergeCell ref="A15:N15"/>
    <mergeCell ref="A47:I47"/>
    <mergeCell ref="A1:B1"/>
    <mergeCell ref="A11:I11"/>
    <mergeCell ref="A46:I46"/>
    <mergeCell ref="A10:N10"/>
    <mergeCell ref="A13:N1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465"/>
  <sheetViews>
    <sheetView tabSelected="1" view="pageBreakPreview" zoomScale="70" zoomScaleNormal="70" zoomScaleSheetLayoutView="70" workbookViewId="0">
      <pane xSplit="7" ySplit="3" topLeftCell="H58" activePane="bottomRight" state="frozen"/>
      <selection pane="topRight" activeCell="H1" sqref="H1"/>
      <selection pane="bottomLeft" activeCell="A4" sqref="A4"/>
      <selection pane="bottomRight" activeCell="A68" sqref="A68"/>
    </sheetView>
  </sheetViews>
  <sheetFormatPr defaultColWidth="35.7109375" defaultRowHeight="15.75" x14ac:dyDescent="0.2"/>
  <cols>
    <col min="1" max="1" width="62.5703125" style="9" customWidth="1"/>
    <col min="2" max="2" width="19.140625" style="9" customWidth="1"/>
    <col min="3" max="7" width="17.85546875" style="9" customWidth="1"/>
    <col min="8" max="9" width="18.28515625" style="10" customWidth="1"/>
    <col min="10" max="11" width="18.42578125" style="10" customWidth="1"/>
    <col min="12" max="13" width="19.140625" style="10" customWidth="1"/>
    <col min="14" max="15" width="18.85546875" style="10" customWidth="1"/>
    <col min="16" max="17" width="19.28515625" style="10" customWidth="1"/>
    <col min="18" max="19" width="18.7109375" style="10" customWidth="1"/>
    <col min="20" max="21" width="18.42578125" style="11" customWidth="1"/>
    <col min="22" max="22" width="18.85546875" style="12" customWidth="1"/>
    <col min="23" max="23" width="18.85546875" style="13" customWidth="1"/>
    <col min="24" max="25" width="19.28515625" style="11" customWidth="1"/>
    <col min="26" max="27" width="19.5703125" style="15" customWidth="1"/>
    <col min="28" max="30" width="19" style="15" customWidth="1"/>
    <col min="31" max="31" width="18.5703125" style="15" customWidth="1"/>
    <col min="32" max="32" width="88.28515625" style="2" customWidth="1"/>
    <col min="33" max="33" width="5.7109375" style="2" customWidth="1"/>
    <col min="34" max="34" width="11.7109375" style="2" customWidth="1"/>
    <col min="35" max="35" width="20.7109375" style="2" customWidth="1"/>
    <col min="36" max="36" width="22.42578125" style="2" customWidth="1"/>
    <col min="37" max="16384" width="35.7109375" style="2"/>
  </cols>
  <sheetData>
    <row r="1" spans="1:36" ht="21.75" customHeight="1" x14ac:dyDescent="0.2">
      <c r="A1" s="35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</row>
    <row r="2" spans="1:36" ht="27.75" customHeight="1" x14ac:dyDescent="0.2">
      <c r="A2" s="129" t="s">
        <v>42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61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1"/>
      <c r="AC2" s="61"/>
      <c r="AD2" s="61"/>
      <c r="AE2" s="60"/>
      <c r="AF2" s="60"/>
      <c r="AG2" s="60"/>
    </row>
    <row r="3" spans="1:36" ht="21.75" customHeight="1" x14ac:dyDescent="0.2">
      <c r="A3" s="130" t="s">
        <v>52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7"/>
      <c r="O3" s="17"/>
      <c r="P3" s="17"/>
      <c r="Q3" s="17"/>
      <c r="R3" s="17"/>
      <c r="S3" s="17"/>
      <c r="T3" s="17"/>
      <c r="U3" s="17"/>
      <c r="V3" s="17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</row>
    <row r="4" spans="1:36" ht="16.5" customHeight="1" x14ac:dyDescent="0.2">
      <c r="A4" s="34"/>
      <c r="B4" s="16"/>
      <c r="C4" s="16"/>
      <c r="D4" s="16"/>
      <c r="E4" s="55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37"/>
      <c r="U4" s="44"/>
      <c r="V4" s="37"/>
      <c r="W4" s="44"/>
      <c r="X4" s="36"/>
      <c r="Y4" s="43"/>
      <c r="Z4" s="36"/>
      <c r="AA4" s="56"/>
      <c r="AB4" s="36"/>
      <c r="AC4" s="56"/>
      <c r="AD4" s="43"/>
      <c r="AE4" s="36"/>
      <c r="AF4" s="17"/>
      <c r="AG4" s="17"/>
    </row>
    <row r="5" spans="1:36" ht="19.5" customHeight="1" x14ac:dyDescent="0.2">
      <c r="A5" s="114"/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41"/>
      <c r="T5" s="118"/>
      <c r="U5" s="118"/>
      <c r="V5" s="118"/>
      <c r="W5" s="118"/>
      <c r="X5" s="118"/>
      <c r="Y5" s="118"/>
      <c r="Z5" s="118"/>
      <c r="AA5" s="118"/>
      <c r="AB5" s="118"/>
      <c r="AC5" s="42"/>
      <c r="AD5" s="42"/>
      <c r="AE5" s="45" t="s">
        <v>30</v>
      </c>
      <c r="AF5" s="49"/>
      <c r="AG5" s="17"/>
    </row>
    <row r="6" spans="1:36" s="3" customFormat="1" ht="35.25" customHeight="1" x14ac:dyDescent="0.2">
      <c r="A6" s="115" t="s">
        <v>27</v>
      </c>
      <c r="B6" s="116" t="s">
        <v>31</v>
      </c>
      <c r="C6" s="116" t="s">
        <v>64</v>
      </c>
      <c r="D6" s="116" t="s">
        <v>65</v>
      </c>
      <c r="E6" s="116" t="s">
        <v>66</v>
      </c>
      <c r="F6" s="111" t="s">
        <v>43</v>
      </c>
      <c r="G6" s="112"/>
      <c r="H6" s="111" t="s">
        <v>0</v>
      </c>
      <c r="I6" s="112"/>
      <c r="J6" s="111" t="s">
        <v>1</v>
      </c>
      <c r="K6" s="112"/>
      <c r="L6" s="111" t="s">
        <v>2</v>
      </c>
      <c r="M6" s="112"/>
      <c r="N6" s="111" t="s">
        <v>3</v>
      </c>
      <c r="O6" s="112"/>
      <c r="P6" s="111" t="s">
        <v>4</v>
      </c>
      <c r="Q6" s="112"/>
      <c r="R6" s="111" t="s">
        <v>5</v>
      </c>
      <c r="S6" s="112"/>
      <c r="T6" s="111" t="s">
        <v>6</v>
      </c>
      <c r="U6" s="112"/>
      <c r="V6" s="111" t="s">
        <v>7</v>
      </c>
      <c r="W6" s="112"/>
      <c r="X6" s="111" t="s">
        <v>8</v>
      </c>
      <c r="Y6" s="112"/>
      <c r="Z6" s="111" t="s">
        <v>9</v>
      </c>
      <c r="AA6" s="112"/>
      <c r="AB6" s="111" t="s">
        <v>10</v>
      </c>
      <c r="AC6" s="112"/>
      <c r="AD6" s="111" t="s">
        <v>11</v>
      </c>
      <c r="AE6" s="112"/>
      <c r="AF6" s="104" t="s">
        <v>47</v>
      </c>
      <c r="AG6" s="19"/>
    </row>
    <row r="7" spans="1:36" s="3" customFormat="1" ht="39.75" customHeight="1" x14ac:dyDescent="0.2">
      <c r="A7" s="115"/>
      <c r="B7" s="117"/>
      <c r="C7" s="117"/>
      <c r="D7" s="117"/>
      <c r="E7" s="117"/>
      <c r="F7" s="18" t="s">
        <v>44</v>
      </c>
      <c r="G7" s="18" t="s">
        <v>45</v>
      </c>
      <c r="H7" s="18" t="s">
        <v>12</v>
      </c>
      <c r="I7" s="18" t="s">
        <v>46</v>
      </c>
      <c r="J7" s="18" t="s">
        <v>12</v>
      </c>
      <c r="K7" s="18" t="s">
        <v>46</v>
      </c>
      <c r="L7" s="18" t="s">
        <v>12</v>
      </c>
      <c r="M7" s="18" t="s">
        <v>46</v>
      </c>
      <c r="N7" s="18" t="s">
        <v>12</v>
      </c>
      <c r="O7" s="18" t="s">
        <v>46</v>
      </c>
      <c r="P7" s="18" t="s">
        <v>12</v>
      </c>
      <c r="Q7" s="18" t="s">
        <v>46</v>
      </c>
      <c r="R7" s="18" t="s">
        <v>12</v>
      </c>
      <c r="S7" s="18" t="s">
        <v>46</v>
      </c>
      <c r="T7" s="18" t="s">
        <v>12</v>
      </c>
      <c r="U7" s="18" t="s">
        <v>46</v>
      </c>
      <c r="V7" s="18" t="s">
        <v>24</v>
      </c>
      <c r="W7" s="18" t="s">
        <v>46</v>
      </c>
      <c r="X7" s="18" t="s">
        <v>12</v>
      </c>
      <c r="Y7" s="18" t="s">
        <v>46</v>
      </c>
      <c r="Z7" s="46" t="s">
        <v>12</v>
      </c>
      <c r="AA7" s="18" t="s">
        <v>46</v>
      </c>
      <c r="AB7" s="46" t="s">
        <v>12</v>
      </c>
      <c r="AC7" s="18" t="s">
        <v>46</v>
      </c>
      <c r="AD7" s="46" t="s">
        <v>12</v>
      </c>
      <c r="AE7" s="18" t="s">
        <v>46</v>
      </c>
      <c r="AF7" s="105"/>
      <c r="AG7" s="19"/>
    </row>
    <row r="8" spans="1:36" s="3" customFormat="1" ht="25.5" customHeight="1" x14ac:dyDescent="0.2">
      <c r="A8" s="20">
        <v>1</v>
      </c>
      <c r="B8" s="38">
        <v>2</v>
      </c>
      <c r="C8" s="20">
        <v>3</v>
      </c>
      <c r="D8" s="20">
        <v>4</v>
      </c>
      <c r="E8" s="20">
        <v>5</v>
      </c>
      <c r="F8" s="38">
        <v>6</v>
      </c>
      <c r="G8" s="20">
        <v>7</v>
      </c>
      <c r="H8" s="20">
        <v>8</v>
      </c>
      <c r="I8" s="20">
        <v>9</v>
      </c>
      <c r="J8" s="38">
        <v>10</v>
      </c>
      <c r="K8" s="20">
        <v>11</v>
      </c>
      <c r="L8" s="20">
        <v>12</v>
      </c>
      <c r="M8" s="20">
        <v>13</v>
      </c>
      <c r="N8" s="20">
        <v>14</v>
      </c>
      <c r="O8" s="20">
        <v>15</v>
      </c>
      <c r="P8" s="38">
        <v>16</v>
      </c>
      <c r="Q8" s="20">
        <v>17</v>
      </c>
      <c r="R8" s="20">
        <v>18</v>
      </c>
      <c r="S8" s="20">
        <v>19</v>
      </c>
      <c r="T8" s="20">
        <v>20</v>
      </c>
      <c r="U8" s="20">
        <v>21</v>
      </c>
      <c r="V8" s="38">
        <v>22</v>
      </c>
      <c r="W8" s="20">
        <v>23</v>
      </c>
      <c r="X8" s="20">
        <v>24</v>
      </c>
      <c r="Y8" s="20">
        <v>25</v>
      </c>
      <c r="Z8" s="20">
        <v>26</v>
      </c>
      <c r="AA8" s="20">
        <v>27</v>
      </c>
      <c r="AB8" s="38">
        <v>28</v>
      </c>
      <c r="AC8" s="20">
        <v>29</v>
      </c>
      <c r="AD8" s="20">
        <v>30</v>
      </c>
      <c r="AE8" s="20">
        <v>31</v>
      </c>
      <c r="AF8" s="20">
        <v>32</v>
      </c>
      <c r="AG8" s="19"/>
    </row>
    <row r="9" spans="1:36" s="4" customFormat="1" ht="23.25" customHeight="1" x14ac:dyDescent="0.2">
      <c r="A9" s="123" t="s">
        <v>32</v>
      </c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5"/>
      <c r="AF9" s="47"/>
      <c r="AG9" s="22"/>
      <c r="AH9" s="14"/>
      <c r="AI9" s="14"/>
      <c r="AJ9" s="14"/>
    </row>
    <row r="10" spans="1:36" s="4" customFormat="1" ht="42.75" customHeight="1" x14ac:dyDescent="0.2">
      <c r="A10" s="123" t="s">
        <v>53</v>
      </c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8"/>
      <c r="AF10" s="47"/>
      <c r="AG10" s="22"/>
      <c r="AH10" s="14"/>
      <c r="AI10" s="14"/>
      <c r="AJ10" s="14"/>
    </row>
    <row r="11" spans="1:36" s="4" customFormat="1" ht="42" customHeight="1" x14ac:dyDescent="0.2">
      <c r="A11" s="53" t="s">
        <v>35</v>
      </c>
      <c r="B11" s="23">
        <f>H11+J11+L11+N11+P11+R11+T11+V11+X11+Z11+AB11+AD11</f>
        <v>185128.65000000002</v>
      </c>
      <c r="C11" s="23">
        <f>H11+J11+L11+N11+P11+R11+T11+V11+X11+Z11+AB11+AD11</f>
        <v>185128.65000000002</v>
      </c>
      <c r="D11" s="23">
        <f>E11</f>
        <v>178901.99</v>
      </c>
      <c r="E11" s="23">
        <f>I11+K11+M11+O11+Q11+S11+U11+W11+Y11+AA11+AC11+AE11</f>
        <v>178901.99</v>
      </c>
      <c r="F11" s="23">
        <f>E11/B11*100</f>
        <v>96.636576780525303</v>
      </c>
      <c r="G11" s="23">
        <f>E11/C11*100</f>
        <v>96.636576780525303</v>
      </c>
      <c r="H11" s="23">
        <f>H13+H18+H23+H28+H31</f>
        <v>13087.994999999999</v>
      </c>
      <c r="I11" s="23">
        <f>I13+I18+I23+I28+I31</f>
        <v>6750.16</v>
      </c>
      <c r="J11" s="23">
        <f t="shared" ref="J11:AE11" si="0">J13+J18+J23+J28+J31</f>
        <v>14536.478999999999</v>
      </c>
      <c r="K11" s="23">
        <f t="shared" si="0"/>
        <v>14661.01</v>
      </c>
      <c r="L11" s="23">
        <f t="shared" si="0"/>
        <v>12476.151999999998</v>
      </c>
      <c r="M11" s="23">
        <f t="shared" si="0"/>
        <v>11862.56</v>
      </c>
      <c r="N11" s="23">
        <f t="shared" si="0"/>
        <v>23754.733</v>
      </c>
      <c r="O11" s="23">
        <f t="shared" si="0"/>
        <v>14337.76</v>
      </c>
      <c r="P11" s="23">
        <f t="shared" si="0"/>
        <v>25266.758000000002</v>
      </c>
      <c r="Q11" s="23">
        <f t="shared" si="0"/>
        <v>20555.77</v>
      </c>
      <c r="R11" s="23">
        <f t="shared" si="0"/>
        <v>20567.027000000002</v>
      </c>
      <c r="S11" s="23">
        <f t="shared" si="0"/>
        <v>19676.240000000002</v>
      </c>
      <c r="T11" s="23">
        <f t="shared" si="0"/>
        <v>12574.698</v>
      </c>
      <c r="U11" s="23">
        <f t="shared" si="0"/>
        <v>15567.52</v>
      </c>
      <c r="V11" s="23">
        <f t="shared" si="0"/>
        <v>10789.741190000001</v>
      </c>
      <c r="W11" s="23">
        <f t="shared" si="0"/>
        <v>12054.02</v>
      </c>
      <c r="X11" s="23">
        <f t="shared" si="0"/>
        <v>11325.949060000001</v>
      </c>
      <c r="Y11" s="23">
        <f t="shared" si="0"/>
        <v>11021.789999999999</v>
      </c>
      <c r="Z11" s="23">
        <f t="shared" si="0"/>
        <v>14112.703750000001</v>
      </c>
      <c r="AA11" s="23">
        <f t="shared" si="0"/>
        <v>13911.539999999999</v>
      </c>
      <c r="AB11" s="23">
        <f t="shared" si="0"/>
        <v>13380.277</v>
      </c>
      <c r="AC11" s="23">
        <f t="shared" si="0"/>
        <v>12585.609999999999</v>
      </c>
      <c r="AD11" s="23">
        <f t="shared" si="0"/>
        <v>13256.137000000001</v>
      </c>
      <c r="AE11" s="23">
        <f t="shared" si="0"/>
        <v>25918.010000000002</v>
      </c>
      <c r="AF11" s="101" t="s">
        <v>69</v>
      </c>
      <c r="AG11" s="22"/>
      <c r="AH11" s="100"/>
      <c r="AI11" s="14"/>
      <c r="AJ11" s="14"/>
    </row>
    <row r="12" spans="1:36" s="4" customFormat="1" ht="42.75" customHeight="1" x14ac:dyDescent="0.2">
      <c r="A12" s="53" t="s">
        <v>19</v>
      </c>
      <c r="B12" s="24"/>
      <c r="C12" s="23"/>
      <c r="D12" s="23"/>
      <c r="E12" s="23"/>
      <c r="F12" s="23"/>
      <c r="G12" s="23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50"/>
      <c r="AF12" s="102"/>
      <c r="AG12" s="22"/>
      <c r="AH12" s="100"/>
      <c r="AI12" s="14"/>
      <c r="AJ12" s="14"/>
    </row>
    <row r="13" spans="1:36" s="5" customFormat="1" ht="24.75" customHeight="1" x14ac:dyDescent="0.3">
      <c r="A13" s="25" t="s">
        <v>15</v>
      </c>
      <c r="B13" s="23">
        <f>H13+J13+L13+N13+P13+R13+T13+V13+X13+Z13+AB13+AD13</f>
        <v>3283.0999999999995</v>
      </c>
      <c r="C13" s="23">
        <f>C16</f>
        <v>3283.0999999999995</v>
      </c>
      <c r="D13" s="23">
        <f>E13</f>
        <v>3001.76</v>
      </c>
      <c r="E13" s="23">
        <f>E14+E15+E16</f>
        <v>3001.76</v>
      </c>
      <c r="F13" s="23">
        <f t="shared" ref="F13:F85" si="1">E13/B13*100</f>
        <v>91.430660046906908</v>
      </c>
      <c r="G13" s="23">
        <f t="shared" ref="G13:G85" si="2">E13/C13*100</f>
        <v>91.430660046906908</v>
      </c>
      <c r="H13" s="21">
        <f>H14+H15+H16</f>
        <v>87.5</v>
      </c>
      <c r="I13" s="21">
        <f t="shared" ref="I13:AE13" si="3">I14+I15+I16</f>
        <v>67.5</v>
      </c>
      <c r="J13" s="21">
        <f t="shared" si="3"/>
        <v>555.61599999999999</v>
      </c>
      <c r="K13" s="21">
        <f t="shared" si="3"/>
        <v>73.52</v>
      </c>
      <c r="L13" s="21">
        <f t="shared" si="3"/>
        <v>549.45299999999997</v>
      </c>
      <c r="M13" s="21">
        <f t="shared" si="3"/>
        <v>556.84</v>
      </c>
      <c r="N13" s="21">
        <f t="shared" si="3"/>
        <v>167.02199999999999</v>
      </c>
      <c r="O13" s="21">
        <f t="shared" si="3"/>
        <v>410.06</v>
      </c>
      <c r="P13" s="21">
        <f t="shared" si="3"/>
        <v>322.89499999999998</v>
      </c>
      <c r="Q13" s="21">
        <f t="shared" si="3"/>
        <v>248.8</v>
      </c>
      <c r="R13" s="21">
        <f t="shared" si="3"/>
        <v>66.712999999999994</v>
      </c>
      <c r="S13" s="21">
        <f t="shared" si="3"/>
        <v>69.239999999999995</v>
      </c>
      <c r="T13" s="21">
        <f t="shared" si="3"/>
        <v>14.134</v>
      </c>
      <c r="U13" s="21">
        <f t="shared" si="3"/>
        <v>199.54</v>
      </c>
      <c r="V13" s="21">
        <f t="shared" si="3"/>
        <v>457.72500000000002</v>
      </c>
      <c r="W13" s="21">
        <f t="shared" si="3"/>
        <v>268.14999999999998</v>
      </c>
      <c r="X13" s="21">
        <f t="shared" si="3"/>
        <v>66.798000000000002</v>
      </c>
      <c r="Y13" s="21">
        <f t="shared" si="3"/>
        <v>219.8</v>
      </c>
      <c r="Z13" s="21">
        <f t="shared" si="3"/>
        <v>369.64499999999998</v>
      </c>
      <c r="AA13" s="21">
        <f t="shared" si="3"/>
        <v>115.73</v>
      </c>
      <c r="AB13" s="21">
        <f t="shared" si="3"/>
        <v>374.01499999999999</v>
      </c>
      <c r="AC13" s="21">
        <f t="shared" si="3"/>
        <v>328.1</v>
      </c>
      <c r="AD13" s="21">
        <f t="shared" si="3"/>
        <v>251.584</v>
      </c>
      <c r="AE13" s="21">
        <f t="shared" si="3"/>
        <v>444.48</v>
      </c>
      <c r="AF13" s="102"/>
      <c r="AG13" s="26"/>
      <c r="AH13" s="100"/>
      <c r="AI13" s="14"/>
      <c r="AJ13" s="14"/>
    </row>
    <row r="14" spans="1:36" s="5" customFormat="1" ht="28.5" customHeight="1" x14ac:dyDescent="0.3">
      <c r="A14" s="28" t="s">
        <v>34</v>
      </c>
      <c r="B14" s="24">
        <f>H14+J14+L14+N14+P14+R14+T14+V14+X14+Z14+AB14+AD14</f>
        <v>0</v>
      </c>
      <c r="C14" s="24">
        <f>H14+J14+L14+N14+P14+R14</f>
        <v>0</v>
      </c>
      <c r="D14" s="24">
        <f t="shared" ref="D14:D78" si="4">E14</f>
        <v>0</v>
      </c>
      <c r="E14" s="24">
        <f t="shared" ref="E14:E78" si="5">I14+K14+M14+O14+Q14+S14+U14+W14+Y14+AA14+AC14+AE14</f>
        <v>0</v>
      </c>
      <c r="F14" s="24">
        <v>0</v>
      </c>
      <c r="G14" s="24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27">
        <v>0</v>
      </c>
      <c r="O14" s="27">
        <v>0</v>
      </c>
      <c r="P14" s="27">
        <v>0</v>
      </c>
      <c r="Q14" s="27">
        <v>0</v>
      </c>
      <c r="R14" s="27">
        <v>0</v>
      </c>
      <c r="S14" s="27">
        <v>0</v>
      </c>
      <c r="T14" s="27">
        <v>0</v>
      </c>
      <c r="U14" s="27">
        <v>0</v>
      </c>
      <c r="V14" s="27">
        <v>0</v>
      </c>
      <c r="W14" s="27">
        <v>0</v>
      </c>
      <c r="X14" s="27">
        <v>0</v>
      </c>
      <c r="Y14" s="27">
        <v>0</v>
      </c>
      <c r="Z14" s="27">
        <v>0</v>
      </c>
      <c r="AA14" s="27">
        <v>0</v>
      </c>
      <c r="AB14" s="27">
        <v>0</v>
      </c>
      <c r="AC14" s="27">
        <v>0</v>
      </c>
      <c r="AD14" s="27">
        <v>0</v>
      </c>
      <c r="AE14" s="86">
        <v>0</v>
      </c>
      <c r="AF14" s="102"/>
      <c r="AG14" s="26"/>
      <c r="AH14" s="100"/>
      <c r="AI14" s="14"/>
      <c r="AJ14" s="14"/>
    </row>
    <row r="15" spans="1:36" s="4" customFormat="1" ht="30" customHeight="1" x14ac:dyDescent="0.2">
      <c r="A15" s="69" t="s">
        <v>13</v>
      </c>
      <c r="B15" s="24">
        <f t="shared" ref="B15" si="6">H15+J15+L15+N15+P15+R15+T15+V15+X15+Z15+AB15+AD15</f>
        <v>0</v>
      </c>
      <c r="C15" s="24">
        <f t="shared" ref="C15" si="7">H15+J15+L15+N15+P15+R15</f>
        <v>0</v>
      </c>
      <c r="D15" s="24">
        <f t="shared" si="4"/>
        <v>0</v>
      </c>
      <c r="E15" s="24">
        <f t="shared" si="5"/>
        <v>0</v>
      </c>
      <c r="F15" s="24">
        <v>0</v>
      </c>
      <c r="G15" s="24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0</v>
      </c>
      <c r="S15" s="27">
        <v>0</v>
      </c>
      <c r="T15" s="27">
        <v>0</v>
      </c>
      <c r="U15" s="27">
        <v>0</v>
      </c>
      <c r="V15" s="27">
        <v>0</v>
      </c>
      <c r="W15" s="27">
        <v>0</v>
      </c>
      <c r="X15" s="27">
        <v>0</v>
      </c>
      <c r="Y15" s="27">
        <v>0</v>
      </c>
      <c r="Z15" s="27">
        <v>0</v>
      </c>
      <c r="AA15" s="27">
        <v>0</v>
      </c>
      <c r="AB15" s="27">
        <v>0</v>
      </c>
      <c r="AC15" s="27">
        <v>0</v>
      </c>
      <c r="AD15" s="27">
        <v>0</v>
      </c>
      <c r="AE15" s="85">
        <v>0</v>
      </c>
      <c r="AF15" s="102"/>
      <c r="AG15" s="22"/>
      <c r="AH15" s="100"/>
      <c r="AI15" s="14"/>
      <c r="AJ15" s="14"/>
    </row>
    <row r="16" spans="1:36" s="4" customFormat="1" ht="132" customHeight="1" x14ac:dyDescent="0.2">
      <c r="A16" s="69" t="s">
        <v>14</v>
      </c>
      <c r="B16" s="24">
        <f>H16+J16+L16+N16+P16+R16+T16+V16+X16+Z16+AB16+AD16</f>
        <v>3283.0999999999995</v>
      </c>
      <c r="C16" s="24">
        <f>H16+J16+L16+N16+P16+R16+T16+V16+X16+Z16+AB16+AD16</f>
        <v>3283.0999999999995</v>
      </c>
      <c r="D16" s="24">
        <f>E16</f>
        <v>3001.76</v>
      </c>
      <c r="E16" s="24">
        <f>I16+K16+M16+O16+Q16+S16+U16+W16+Y16+AA16+AC16+AE16</f>
        <v>3001.76</v>
      </c>
      <c r="F16" s="24">
        <f t="shared" si="1"/>
        <v>91.430660046906908</v>
      </c>
      <c r="G16" s="24">
        <f t="shared" si="2"/>
        <v>91.430660046906908</v>
      </c>
      <c r="H16" s="27">
        <f>87500/1000</f>
        <v>87.5</v>
      </c>
      <c r="I16" s="27">
        <v>67.5</v>
      </c>
      <c r="J16" s="27">
        <f>555616/1000</f>
        <v>555.61599999999999</v>
      </c>
      <c r="K16" s="27">
        <v>73.52</v>
      </c>
      <c r="L16" s="27">
        <f>549453/1000</f>
        <v>549.45299999999997</v>
      </c>
      <c r="M16" s="27">
        <v>556.84</v>
      </c>
      <c r="N16" s="27">
        <f>167022/1000</f>
        <v>167.02199999999999</v>
      </c>
      <c r="O16" s="27">
        <v>410.06</v>
      </c>
      <c r="P16" s="27">
        <f>322895/1000</f>
        <v>322.89499999999998</v>
      </c>
      <c r="Q16" s="27">
        <v>248.8</v>
      </c>
      <c r="R16" s="27">
        <f>66713/1000</f>
        <v>66.712999999999994</v>
      </c>
      <c r="S16" s="27">
        <v>69.239999999999995</v>
      </c>
      <c r="T16" s="27">
        <f>14134/1000</f>
        <v>14.134</v>
      </c>
      <c r="U16" s="27">
        <v>199.54</v>
      </c>
      <c r="V16" s="27">
        <f>457725/1000</f>
        <v>457.72500000000002</v>
      </c>
      <c r="W16" s="27">
        <v>268.14999999999998</v>
      </c>
      <c r="X16" s="27">
        <f>66798/1000</f>
        <v>66.798000000000002</v>
      </c>
      <c r="Y16" s="27">
        <v>219.8</v>
      </c>
      <c r="Z16" s="27">
        <f>369645/1000</f>
        <v>369.64499999999998</v>
      </c>
      <c r="AA16" s="27">
        <v>115.73</v>
      </c>
      <c r="AB16" s="27">
        <f>374015/1000</f>
        <v>374.01499999999999</v>
      </c>
      <c r="AC16" s="27">
        <v>328.1</v>
      </c>
      <c r="AD16" s="27">
        <f>251584/1000</f>
        <v>251.584</v>
      </c>
      <c r="AE16" s="87">
        <v>444.48</v>
      </c>
      <c r="AF16" s="103"/>
      <c r="AG16" s="22"/>
      <c r="AH16" s="100"/>
      <c r="AI16" s="14"/>
      <c r="AJ16" s="14"/>
    </row>
    <row r="17" spans="1:36" s="4" customFormat="1" ht="63.75" customHeight="1" x14ac:dyDescent="0.2">
      <c r="A17" s="62" t="s">
        <v>20</v>
      </c>
      <c r="B17" s="27"/>
      <c r="C17" s="23"/>
      <c r="D17" s="23"/>
      <c r="E17" s="23"/>
      <c r="F17" s="23"/>
      <c r="G17" s="23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50"/>
      <c r="AF17" s="106" t="s">
        <v>70</v>
      </c>
      <c r="AG17" s="22"/>
      <c r="AH17" s="100"/>
      <c r="AI17" s="14"/>
      <c r="AJ17" s="14"/>
    </row>
    <row r="18" spans="1:36" s="4" customFormat="1" ht="45.75" customHeight="1" x14ac:dyDescent="0.2">
      <c r="A18" s="68" t="s">
        <v>15</v>
      </c>
      <c r="B18" s="23">
        <f>B20+B21+B19</f>
        <v>171824.2</v>
      </c>
      <c r="C18" s="23">
        <f>C19+C20+C21</f>
        <v>171824.2</v>
      </c>
      <c r="D18" s="23">
        <f>E18</f>
        <v>165897.16</v>
      </c>
      <c r="E18" s="23">
        <f>E19+E20+E21</f>
        <v>165897.16</v>
      </c>
      <c r="F18" s="23">
        <f t="shared" si="1"/>
        <v>96.550520823027256</v>
      </c>
      <c r="G18" s="23">
        <f t="shared" si="2"/>
        <v>96.550520823027256</v>
      </c>
      <c r="H18" s="21">
        <f>H20+H21+H19</f>
        <v>12968.373</v>
      </c>
      <c r="I18" s="21">
        <f t="shared" ref="I18:AE18" si="8">I20+I21+I19</f>
        <v>6682.66</v>
      </c>
      <c r="J18" s="21">
        <f t="shared" si="8"/>
        <v>13881.474</v>
      </c>
      <c r="K18" s="21">
        <f t="shared" si="8"/>
        <v>14569.49</v>
      </c>
      <c r="L18" s="21">
        <f t="shared" si="8"/>
        <v>11445.321</v>
      </c>
      <c r="M18" s="21">
        <f t="shared" si="8"/>
        <v>11262.56</v>
      </c>
      <c r="N18" s="21">
        <f t="shared" si="8"/>
        <v>16197.772000000001</v>
      </c>
      <c r="O18" s="21">
        <f t="shared" si="8"/>
        <v>13889.94</v>
      </c>
      <c r="P18" s="21">
        <f t="shared" si="8"/>
        <v>23852.028999999999</v>
      </c>
      <c r="Q18" s="21">
        <f t="shared" si="8"/>
        <v>18820.46</v>
      </c>
      <c r="R18" s="21">
        <f t="shared" si="8"/>
        <v>20023.435000000001</v>
      </c>
      <c r="S18" s="21">
        <f t="shared" si="8"/>
        <v>19216.599999999999</v>
      </c>
      <c r="T18" s="21">
        <f t="shared" si="8"/>
        <v>12559.304</v>
      </c>
      <c r="U18" s="21">
        <f t="shared" si="8"/>
        <v>15078.35</v>
      </c>
      <c r="V18" s="21">
        <f t="shared" si="8"/>
        <v>10300.01619</v>
      </c>
      <c r="W18" s="21">
        <f t="shared" si="8"/>
        <v>11546.27</v>
      </c>
      <c r="X18" s="21">
        <f t="shared" si="8"/>
        <v>11215.021060000001</v>
      </c>
      <c r="Y18" s="21">
        <f t="shared" si="8"/>
        <v>10751.06</v>
      </c>
      <c r="Z18" s="21">
        <f t="shared" si="8"/>
        <v>13707.096750000001</v>
      </c>
      <c r="AA18" s="21">
        <f t="shared" si="8"/>
        <v>13775.51</v>
      </c>
      <c r="AB18" s="21">
        <f t="shared" si="8"/>
        <v>12687.242</v>
      </c>
      <c r="AC18" s="21">
        <f t="shared" si="8"/>
        <v>12245.88</v>
      </c>
      <c r="AD18" s="21">
        <f t="shared" si="8"/>
        <v>12987.116</v>
      </c>
      <c r="AE18" s="21">
        <f t="shared" si="8"/>
        <v>18058.38</v>
      </c>
      <c r="AF18" s="107"/>
      <c r="AG18" s="22"/>
      <c r="AH18" s="100"/>
      <c r="AI18" s="14"/>
      <c r="AJ18" s="14"/>
    </row>
    <row r="19" spans="1:36" s="4" customFormat="1" ht="42" customHeight="1" x14ac:dyDescent="0.2">
      <c r="A19" s="64" t="s">
        <v>34</v>
      </c>
      <c r="B19" s="24">
        <f>AD19</f>
        <v>0</v>
      </c>
      <c r="C19" s="24">
        <f>H19+J19</f>
        <v>0</v>
      </c>
      <c r="D19" s="24">
        <f t="shared" si="4"/>
        <v>0</v>
      </c>
      <c r="E19" s="24">
        <f t="shared" si="5"/>
        <v>0</v>
      </c>
      <c r="F19" s="24">
        <v>0</v>
      </c>
      <c r="G19" s="24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  <c r="N19" s="27">
        <v>0</v>
      </c>
      <c r="O19" s="27">
        <v>0</v>
      </c>
      <c r="P19" s="27">
        <v>0</v>
      </c>
      <c r="Q19" s="27">
        <v>0</v>
      </c>
      <c r="R19" s="27">
        <v>0</v>
      </c>
      <c r="S19" s="27">
        <v>0</v>
      </c>
      <c r="T19" s="27">
        <v>0</v>
      </c>
      <c r="U19" s="27">
        <v>0</v>
      </c>
      <c r="V19" s="27">
        <v>0</v>
      </c>
      <c r="W19" s="27">
        <v>0</v>
      </c>
      <c r="X19" s="27">
        <v>0</v>
      </c>
      <c r="Y19" s="27">
        <v>0</v>
      </c>
      <c r="Z19" s="27">
        <v>0</v>
      </c>
      <c r="AA19" s="27">
        <v>0</v>
      </c>
      <c r="AB19" s="27">
        <v>0</v>
      </c>
      <c r="AC19" s="27">
        <v>0</v>
      </c>
      <c r="AD19" s="27">
        <v>0</v>
      </c>
      <c r="AE19" s="85">
        <v>0</v>
      </c>
      <c r="AF19" s="107"/>
      <c r="AG19" s="22"/>
      <c r="AH19" s="14"/>
      <c r="AI19" s="14"/>
      <c r="AJ19" s="14"/>
    </row>
    <row r="20" spans="1:36" s="4" customFormat="1" ht="44.25" customHeight="1" x14ac:dyDescent="0.2">
      <c r="A20" s="69" t="s">
        <v>13</v>
      </c>
      <c r="B20" s="24">
        <f>H20+J20+L20+N20+P20+R20+T20+V20+X20+Z20+AB20+AD20</f>
        <v>0</v>
      </c>
      <c r="C20" s="24">
        <f>H20+J20+L20+N20+P20+R20</f>
        <v>0</v>
      </c>
      <c r="D20" s="24">
        <f t="shared" si="4"/>
        <v>0</v>
      </c>
      <c r="E20" s="24">
        <f t="shared" si="5"/>
        <v>0</v>
      </c>
      <c r="F20" s="24">
        <v>0</v>
      </c>
      <c r="G20" s="24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7">
        <v>0</v>
      </c>
      <c r="Q20" s="27">
        <v>0</v>
      </c>
      <c r="R20" s="27">
        <v>0</v>
      </c>
      <c r="S20" s="27">
        <v>0</v>
      </c>
      <c r="T20" s="27">
        <v>0</v>
      </c>
      <c r="U20" s="27">
        <v>0</v>
      </c>
      <c r="V20" s="27">
        <v>0</v>
      </c>
      <c r="W20" s="27">
        <v>0</v>
      </c>
      <c r="X20" s="27">
        <v>0</v>
      </c>
      <c r="Y20" s="27">
        <v>0</v>
      </c>
      <c r="Z20" s="27">
        <v>0</v>
      </c>
      <c r="AA20" s="27">
        <v>0</v>
      </c>
      <c r="AB20" s="27">
        <v>0</v>
      </c>
      <c r="AC20" s="27">
        <v>0</v>
      </c>
      <c r="AD20" s="27">
        <v>0</v>
      </c>
      <c r="AE20" s="85">
        <v>0</v>
      </c>
      <c r="AF20" s="107"/>
      <c r="AG20" s="22"/>
      <c r="AH20" s="14"/>
      <c r="AI20" s="14"/>
      <c r="AJ20" s="14"/>
    </row>
    <row r="21" spans="1:36" s="4" customFormat="1" ht="68.25" customHeight="1" x14ac:dyDescent="0.2">
      <c r="A21" s="69" t="s">
        <v>14</v>
      </c>
      <c r="B21" s="24">
        <f>H21+J21+L21+N21+P21+R21+T21+V21+X21+Z21+AB21+AD21</f>
        <v>171824.2</v>
      </c>
      <c r="C21" s="24">
        <f>H21+J21+L21+N21+P21+R21+T21+V21+X21+Z21+AB21+AD21</f>
        <v>171824.2</v>
      </c>
      <c r="D21" s="24">
        <f>E21</f>
        <v>165897.16</v>
      </c>
      <c r="E21" s="24">
        <f>I21+K21+M21+O21+Q21+S21+U21+W21+Y21+AA21+AC21+AE21</f>
        <v>165897.16</v>
      </c>
      <c r="F21" s="24">
        <f t="shared" si="1"/>
        <v>96.550520823027256</v>
      </c>
      <c r="G21" s="24">
        <f t="shared" si="2"/>
        <v>96.550520823027256</v>
      </c>
      <c r="H21" s="27">
        <f>12968373/1000</f>
        <v>12968.373</v>
      </c>
      <c r="I21" s="27">
        <v>6682.66</v>
      </c>
      <c r="J21" s="27">
        <f>13881474/1000</f>
        <v>13881.474</v>
      </c>
      <c r="K21" s="27">
        <v>14569.49</v>
      </c>
      <c r="L21" s="27">
        <f>11445321/1000</f>
        <v>11445.321</v>
      </c>
      <c r="M21" s="27">
        <v>11262.56</v>
      </c>
      <c r="N21" s="27">
        <f>16197772/1000</f>
        <v>16197.772000000001</v>
      </c>
      <c r="O21" s="27">
        <v>13889.94</v>
      </c>
      <c r="P21" s="27">
        <f>23852029/1000</f>
        <v>23852.028999999999</v>
      </c>
      <c r="Q21" s="27">
        <v>18820.46</v>
      </c>
      <c r="R21" s="27">
        <f>20023435/1000</f>
        <v>20023.435000000001</v>
      </c>
      <c r="S21" s="27">
        <v>19216.599999999999</v>
      </c>
      <c r="T21" s="27">
        <f>12559304/1000</f>
        <v>12559.304</v>
      </c>
      <c r="U21" s="27">
        <v>15078.35</v>
      </c>
      <c r="V21" s="27">
        <f>10300016.19/1000</f>
        <v>10300.01619</v>
      </c>
      <c r="W21" s="27">
        <v>11546.27</v>
      </c>
      <c r="X21" s="27">
        <f>11215021.06/1000</f>
        <v>11215.021060000001</v>
      </c>
      <c r="Y21" s="27">
        <v>10751.06</v>
      </c>
      <c r="Z21" s="27">
        <f>13707096.75/1000</f>
        <v>13707.096750000001</v>
      </c>
      <c r="AA21" s="27">
        <v>13775.51</v>
      </c>
      <c r="AB21" s="27">
        <f>12687242/1000</f>
        <v>12687.242</v>
      </c>
      <c r="AC21" s="27">
        <v>12245.88</v>
      </c>
      <c r="AD21" s="27">
        <f>12987116/1000</f>
        <v>12987.116</v>
      </c>
      <c r="AE21" s="24">
        <v>18058.38</v>
      </c>
      <c r="AF21" s="108"/>
      <c r="AG21" s="22"/>
      <c r="AH21" s="14"/>
      <c r="AI21" s="14"/>
      <c r="AJ21" s="14"/>
    </row>
    <row r="22" spans="1:36" s="4" customFormat="1" ht="40.5" customHeight="1" x14ac:dyDescent="0.3">
      <c r="A22" s="25" t="s">
        <v>21</v>
      </c>
      <c r="B22" s="23"/>
      <c r="C22" s="23"/>
      <c r="D22" s="23"/>
      <c r="E22" s="23"/>
      <c r="F22" s="23"/>
      <c r="G22" s="23"/>
      <c r="H22" s="21"/>
      <c r="I22" s="27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50"/>
      <c r="AF22" s="101" t="s">
        <v>71</v>
      </c>
      <c r="AG22" s="22"/>
      <c r="AH22" s="14"/>
      <c r="AI22" s="14"/>
      <c r="AJ22" s="14"/>
    </row>
    <row r="23" spans="1:36" s="4" customFormat="1" ht="25.5" customHeight="1" x14ac:dyDescent="0.3">
      <c r="A23" s="25" t="s">
        <v>15</v>
      </c>
      <c r="B23" s="23">
        <f>B26+B25+B24</f>
        <v>370.19999999999993</v>
      </c>
      <c r="C23" s="23">
        <f>C24+C25+C26</f>
        <v>370.19999999999993</v>
      </c>
      <c r="D23" s="23">
        <f>D24+D25+D26</f>
        <v>351.99</v>
      </c>
      <c r="E23" s="23">
        <f t="shared" si="5"/>
        <v>351.99</v>
      </c>
      <c r="F23" s="23">
        <f t="shared" si="1"/>
        <v>95.081037277147502</v>
      </c>
      <c r="G23" s="23">
        <f t="shared" si="2"/>
        <v>95.081037277147502</v>
      </c>
      <c r="H23" s="21">
        <f>H25+H26+H24</f>
        <v>32.122</v>
      </c>
      <c r="I23" s="21">
        <f t="shared" ref="I23:AE23" si="9">I25+I26+I24</f>
        <v>0</v>
      </c>
      <c r="J23" s="21">
        <f t="shared" si="9"/>
        <v>99.388999999999996</v>
      </c>
      <c r="K23" s="21">
        <f t="shared" si="9"/>
        <v>18</v>
      </c>
      <c r="L23" s="21">
        <f t="shared" si="9"/>
        <v>12.398</v>
      </c>
      <c r="M23" s="21">
        <f t="shared" si="9"/>
        <v>19.670000000000002</v>
      </c>
      <c r="N23" s="21">
        <f t="shared" si="9"/>
        <v>50.228999999999999</v>
      </c>
      <c r="O23" s="21">
        <f t="shared" si="9"/>
        <v>37.76</v>
      </c>
      <c r="P23" s="21">
        <f t="shared" si="9"/>
        <v>25.603999999999999</v>
      </c>
      <c r="Q23" s="21">
        <f t="shared" si="9"/>
        <v>52.48</v>
      </c>
      <c r="R23" s="21">
        <f t="shared" si="9"/>
        <v>37.238999999999997</v>
      </c>
      <c r="S23" s="21">
        <f t="shared" si="9"/>
        <v>29.4</v>
      </c>
      <c r="T23" s="21">
        <f t="shared" si="9"/>
        <v>0</v>
      </c>
      <c r="U23" s="21">
        <f t="shared" si="9"/>
        <v>0</v>
      </c>
      <c r="V23" s="21">
        <f t="shared" si="9"/>
        <v>32</v>
      </c>
      <c r="W23" s="21">
        <f t="shared" si="9"/>
        <v>32</v>
      </c>
      <c r="X23" s="21">
        <f t="shared" si="9"/>
        <v>8.8000000000000007</v>
      </c>
      <c r="Y23" s="21">
        <f t="shared" si="9"/>
        <v>15.6</v>
      </c>
      <c r="Z23" s="21">
        <f t="shared" si="9"/>
        <v>35.962000000000003</v>
      </c>
      <c r="AA23" s="21">
        <f t="shared" si="9"/>
        <v>20.3</v>
      </c>
      <c r="AB23" s="21">
        <f t="shared" si="9"/>
        <v>19.02</v>
      </c>
      <c r="AC23" s="21">
        <f t="shared" si="9"/>
        <v>11.63</v>
      </c>
      <c r="AD23" s="21">
        <f t="shared" si="9"/>
        <v>17.437000000000001</v>
      </c>
      <c r="AE23" s="21">
        <f t="shared" si="9"/>
        <v>115.15</v>
      </c>
      <c r="AF23" s="102"/>
      <c r="AG23" s="22"/>
      <c r="AH23" s="14"/>
      <c r="AI23" s="14"/>
      <c r="AJ23" s="14"/>
    </row>
    <row r="24" spans="1:36" s="4" customFormat="1" ht="25.5" customHeight="1" x14ac:dyDescent="0.3">
      <c r="A24" s="28" t="s">
        <v>34</v>
      </c>
      <c r="B24" s="24">
        <f t="shared" ref="B24:B25" si="10">H24+J24+L24+N24+P24+R24+T24+V24+X24+Z24+AB24+AD24</f>
        <v>0</v>
      </c>
      <c r="C24" s="24">
        <f>H24+J24</f>
        <v>0</v>
      </c>
      <c r="D24" s="24">
        <f t="shared" si="4"/>
        <v>0</v>
      </c>
      <c r="E24" s="24">
        <f t="shared" si="5"/>
        <v>0</v>
      </c>
      <c r="F24" s="24">
        <v>0</v>
      </c>
      <c r="G24" s="24">
        <v>0</v>
      </c>
      <c r="H24" s="27">
        <v>0</v>
      </c>
      <c r="I24" s="27">
        <v>0</v>
      </c>
      <c r="J24" s="27">
        <v>0</v>
      </c>
      <c r="K24" s="27">
        <v>0</v>
      </c>
      <c r="L24" s="27">
        <v>0</v>
      </c>
      <c r="M24" s="27">
        <v>0</v>
      </c>
      <c r="N24" s="27">
        <v>0</v>
      </c>
      <c r="O24" s="27">
        <v>0</v>
      </c>
      <c r="P24" s="27">
        <v>0</v>
      </c>
      <c r="Q24" s="27">
        <v>0</v>
      </c>
      <c r="R24" s="27">
        <v>0</v>
      </c>
      <c r="S24" s="27">
        <v>0</v>
      </c>
      <c r="T24" s="27">
        <v>0</v>
      </c>
      <c r="U24" s="27">
        <v>0</v>
      </c>
      <c r="V24" s="27">
        <v>0</v>
      </c>
      <c r="W24" s="27">
        <v>0</v>
      </c>
      <c r="X24" s="27">
        <v>0</v>
      </c>
      <c r="Y24" s="27">
        <v>0</v>
      </c>
      <c r="Z24" s="27">
        <v>0</v>
      </c>
      <c r="AA24" s="27">
        <v>0</v>
      </c>
      <c r="AB24" s="27">
        <v>0</v>
      </c>
      <c r="AC24" s="27">
        <v>0</v>
      </c>
      <c r="AD24" s="27">
        <v>0</v>
      </c>
      <c r="AE24" s="85">
        <v>0</v>
      </c>
      <c r="AF24" s="102"/>
      <c r="AG24" s="22"/>
      <c r="AH24" s="14"/>
      <c r="AI24" s="14"/>
      <c r="AJ24" s="14"/>
    </row>
    <row r="25" spans="1:36" s="4" customFormat="1" ht="28.5" customHeight="1" x14ac:dyDescent="0.3">
      <c r="A25" s="28" t="s">
        <v>13</v>
      </c>
      <c r="B25" s="24">
        <f t="shared" si="10"/>
        <v>0</v>
      </c>
      <c r="C25" s="24">
        <f t="shared" ref="C25" si="11">H25+J25</f>
        <v>0</v>
      </c>
      <c r="D25" s="24">
        <f t="shared" si="4"/>
        <v>0</v>
      </c>
      <c r="E25" s="24">
        <f t="shared" si="5"/>
        <v>0</v>
      </c>
      <c r="F25" s="24">
        <v>0</v>
      </c>
      <c r="G25" s="24">
        <v>0</v>
      </c>
      <c r="H25" s="27">
        <v>0</v>
      </c>
      <c r="I25" s="27">
        <v>0</v>
      </c>
      <c r="J25" s="27">
        <v>0</v>
      </c>
      <c r="K25" s="27">
        <v>0</v>
      </c>
      <c r="L25" s="27">
        <v>0</v>
      </c>
      <c r="M25" s="27">
        <v>0</v>
      </c>
      <c r="N25" s="27">
        <v>0</v>
      </c>
      <c r="O25" s="27">
        <v>0</v>
      </c>
      <c r="P25" s="27">
        <v>0</v>
      </c>
      <c r="Q25" s="27">
        <v>0</v>
      </c>
      <c r="R25" s="27">
        <v>0</v>
      </c>
      <c r="S25" s="27">
        <v>0</v>
      </c>
      <c r="T25" s="27">
        <v>0</v>
      </c>
      <c r="U25" s="27">
        <v>0</v>
      </c>
      <c r="V25" s="27">
        <v>0</v>
      </c>
      <c r="W25" s="27">
        <v>0</v>
      </c>
      <c r="X25" s="27">
        <v>0</v>
      </c>
      <c r="Y25" s="27">
        <v>0</v>
      </c>
      <c r="Z25" s="27">
        <v>0</v>
      </c>
      <c r="AA25" s="27">
        <v>0</v>
      </c>
      <c r="AB25" s="27">
        <v>0</v>
      </c>
      <c r="AC25" s="27">
        <v>0</v>
      </c>
      <c r="AD25" s="27">
        <v>0</v>
      </c>
      <c r="AE25" s="85">
        <v>0</v>
      </c>
      <c r="AF25" s="102"/>
      <c r="AG25" s="22"/>
      <c r="AH25" s="14"/>
      <c r="AI25" s="14"/>
      <c r="AJ25" s="14"/>
    </row>
    <row r="26" spans="1:36" s="4" customFormat="1" ht="360.75" customHeight="1" x14ac:dyDescent="0.3">
      <c r="A26" s="28" t="s">
        <v>14</v>
      </c>
      <c r="B26" s="24">
        <f>H26+J26+L26+N26+P26+R26+T26+V26+X26+Z26+AB26+AD26</f>
        <v>370.19999999999993</v>
      </c>
      <c r="C26" s="24">
        <f>H26+J26+L26+N26+P26+R26+T26+V26+X26+Z26+AB26+AD26</f>
        <v>370.19999999999993</v>
      </c>
      <c r="D26" s="24">
        <f>E26</f>
        <v>351.99</v>
      </c>
      <c r="E26" s="24">
        <f>I26+K26+M26+O26+Q26+S26+U26+W26+Y26+AA26+AC26+AE26</f>
        <v>351.99</v>
      </c>
      <c r="F26" s="24">
        <f t="shared" si="1"/>
        <v>95.081037277147502</v>
      </c>
      <c r="G26" s="24">
        <f t="shared" si="2"/>
        <v>95.081037277147502</v>
      </c>
      <c r="H26" s="27">
        <f>32122/1000</f>
        <v>32.122</v>
      </c>
      <c r="I26" s="27">
        <v>0</v>
      </c>
      <c r="J26" s="27">
        <f>99389/1000</f>
        <v>99.388999999999996</v>
      </c>
      <c r="K26" s="27">
        <v>18</v>
      </c>
      <c r="L26" s="27">
        <f>12398/1000</f>
        <v>12.398</v>
      </c>
      <c r="M26" s="27">
        <v>19.670000000000002</v>
      </c>
      <c r="N26" s="27">
        <f>50229/1000</f>
        <v>50.228999999999999</v>
      </c>
      <c r="O26" s="27">
        <v>37.76</v>
      </c>
      <c r="P26" s="27">
        <f>25604/1000</f>
        <v>25.603999999999999</v>
      </c>
      <c r="Q26" s="27">
        <v>52.48</v>
      </c>
      <c r="R26" s="27">
        <f>37239/1000</f>
        <v>37.238999999999997</v>
      </c>
      <c r="S26" s="27">
        <v>29.4</v>
      </c>
      <c r="T26" s="27">
        <v>0</v>
      </c>
      <c r="U26" s="27">
        <v>0</v>
      </c>
      <c r="V26" s="27">
        <f>32000/1000</f>
        <v>32</v>
      </c>
      <c r="W26" s="27">
        <v>32</v>
      </c>
      <c r="X26" s="27">
        <f>8800/1000</f>
        <v>8.8000000000000007</v>
      </c>
      <c r="Y26" s="27">
        <v>15.6</v>
      </c>
      <c r="Z26" s="27">
        <f>35962/1000</f>
        <v>35.962000000000003</v>
      </c>
      <c r="AA26" s="27">
        <v>20.3</v>
      </c>
      <c r="AB26" s="27">
        <f>19020/1000</f>
        <v>19.02</v>
      </c>
      <c r="AC26" s="27">
        <v>11.63</v>
      </c>
      <c r="AD26" s="27">
        <f>17437/1000</f>
        <v>17.437000000000001</v>
      </c>
      <c r="AE26" s="87">
        <v>115.15</v>
      </c>
      <c r="AF26" s="103"/>
      <c r="AG26" s="22"/>
      <c r="AH26" s="14"/>
      <c r="AI26" s="14"/>
      <c r="AJ26" s="14"/>
    </row>
    <row r="27" spans="1:36" s="4" customFormat="1" ht="56.25" customHeight="1" x14ac:dyDescent="0.2">
      <c r="A27" s="63" t="s">
        <v>56</v>
      </c>
      <c r="B27" s="23"/>
      <c r="C27" s="23"/>
      <c r="D27" s="23"/>
      <c r="E27" s="23"/>
      <c r="F27" s="23"/>
      <c r="G27" s="23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50"/>
      <c r="AF27" s="47"/>
      <c r="AG27" s="22"/>
      <c r="AH27" s="14"/>
      <c r="AI27" s="14"/>
      <c r="AJ27" s="14"/>
    </row>
    <row r="28" spans="1:36" s="4" customFormat="1" ht="22.5" customHeight="1" x14ac:dyDescent="0.3">
      <c r="A28" s="25" t="s">
        <v>15</v>
      </c>
      <c r="B28" s="23">
        <f>B29</f>
        <v>6.4</v>
      </c>
      <c r="C28" s="23">
        <f>C29</f>
        <v>6.4</v>
      </c>
      <c r="D28" s="23">
        <f>D29</f>
        <v>6.4</v>
      </c>
      <c r="E28" s="23">
        <f>E29</f>
        <v>6.4</v>
      </c>
      <c r="F28" s="23">
        <f t="shared" si="1"/>
        <v>100</v>
      </c>
      <c r="G28" s="23">
        <f>G29</f>
        <v>0</v>
      </c>
      <c r="H28" s="23">
        <f>H29</f>
        <v>0</v>
      </c>
      <c r="I28" s="23">
        <f t="shared" ref="I28:AE28" si="12">I29</f>
        <v>0</v>
      </c>
      <c r="J28" s="23">
        <f t="shared" si="12"/>
        <v>0</v>
      </c>
      <c r="K28" s="23">
        <f t="shared" si="12"/>
        <v>0</v>
      </c>
      <c r="L28" s="23">
        <f t="shared" si="12"/>
        <v>0</v>
      </c>
      <c r="M28" s="23">
        <f t="shared" si="12"/>
        <v>0</v>
      </c>
      <c r="N28" s="23">
        <f t="shared" si="12"/>
        <v>0</v>
      </c>
      <c r="O28" s="23">
        <f t="shared" si="12"/>
        <v>0</v>
      </c>
      <c r="P28" s="23">
        <f t="shared" si="12"/>
        <v>6.4</v>
      </c>
      <c r="Q28" s="23">
        <f t="shared" si="12"/>
        <v>6.4</v>
      </c>
      <c r="R28" s="23">
        <f t="shared" si="12"/>
        <v>0</v>
      </c>
      <c r="S28" s="23">
        <f t="shared" si="12"/>
        <v>0</v>
      </c>
      <c r="T28" s="23">
        <f t="shared" si="12"/>
        <v>0</v>
      </c>
      <c r="U28" s="23">
        <f t="shared" si="12"/>
        <v>0</v>
      </c>
      <c r="V28" s="23">
        <f t="shared" si="12"/>
        <v>0</v>
      </c>
      <c r="W28" s="23">
        <f t="shared" si="12"/>
        <v>0</v>
      </c>
      <c r="X28" s="23">
        <f t="shared" si="12"/>
        <v>0</v>
      </c>
      <c r="Y28" s="23">
        <f t="shared" si="12"/>
        <v>0</v>
      </c>
      <c r="Z28" s="23">
        <f t="shared" si="12"/>
        <v>0</v>
      </c>
      <c r="AA28" s="23">
        <f t="shared" si="12"/>
        <v>0</v>
      </c>
      <c r="AB28" s="23">
        <f t="shared" si="12"/>
        <v>0</v>
      </c>
      <c r="AC28" s="23">
        <f t="shared" si="12"/>
        <v>0</v>
      </c>
      <c r="AD28" s="23">
        <f t="shared" si="12"/>
        <v>0</v>
      </c>
      <c r="AE28" s="23">
        <f t="shared" si="12"/>
        <v>0</v>
      </c>
      <c r="AF28" s="101" t="s">
        <v>58</v>
      </c>
      <c r="AG28" s="22"/>
      <c r="AH28" s="14"/>
      <c r="AI28" s="14"/>
      <c r="AJ28" s="14"/>
    </row>
    <row r="29" spans="1:36" s="4" customFormat="1" ht="21" customHeight="1" x14ac:dyDescent="0.3">
      <c r="A29" s="28" t="s">
        <v>14</v>
      </c>
      <c r="B29" s="24">
        <f>H29+J29+L29+N29+P29+R29+T29+V29+X29+Z29+AB29+AD29</f>
        <v>6.4</v>
      </c>
      <c r="C29" s="24">
        <f>H29+J29+L29+N29+P29+R29+T29+V29+X29+Z29+AB29+AD29</f>
        <v>6.4</v>
      </c>
      <c r="D29" s="24">
        <f>E29</f>
        <v>6.4</v>
      </c>
      <c r="E29" s="24">
        <f>I29+K29+M29+O29+Q29+S29+U29+W29+Y29+AA29+AC29+AE29</f>
        <v>6.4</v>
      </c>
      <c r="F29" s="24">
        <f t="shared" si="1"/>
        <v>100</v>
      </c>
      <c r="G29" s="24">
        <v>0</v>
      </c>
      <c r="H29" s="27">
        <v>0</v>
      </c>
      <c r="I29" s="27">
        <v>0</v>
      </c>
      <c r="J29" s="27">
        <v>0</v>
      </c>
      <c r="K29" s="27">
        <v>0</v>
      </c>
      <c r="L29" s="27">
        <v>0</v>
      </c>
      <c r="M29" s="27">
        <v>0</v>
      </c>
      <c r="N29" s="27">
        <v>0</v>
      </c>
      <c r="O29" s="27">
        <v>0</v>
      </c>
      <c r="P29" s="27">
        <f>6400/1000</f>
        <v>6.4</v>
      </c>
      <c r="Q29" s="27">
        <v>6.4</v>
      </c>
      <c r="R29" s="27">
        <v>0</v>
      </c>
      <c r="S29" s="27">
        <v>0</v>
      </c>
      <c r="T29" s="27">
        <v>0</v>
      </c>
      <c r="U29" s="27">
        <v>0</v>
      </c>
      <c r="V29" s="27">
        <v>0</v>
      </c>
      <c r="W29" s="27">
        <v>0</v>
      </c>
      <c r="X29" s="27">
        <v>0</v>
      </c>
      <c r="Y29" s="27">
        <v>0</v>
      </c>
      <c r="Z29" s="27">
        <v>0</v>
      </c>
      <c r="AA29" s="27">
        <v>0</v>
      </c>
      <c r="AB29" s="27">
        <v>0</v>
      </c>
      <c r="AC29" s="27">
        <v>0</v>
      </c>
      <c r="AD29" s="27">
        <v>0</v>
      </c>
      <c r="AE29" s="50">
        <v>0</v>
      </c>
      <c r="AF29" s="103"/>
      <c r="AG29" s="22"/>
      <c r="AH29" s="14"/>
      <c r="AI29" s="14"/>
      <c r="AJ29" s="14"/>
    </row>
    <row r="30" spans="1:36" s="4" customFormat="1" ht="37.5" customHeight="1" x14ac:dyDescent="0.3">
      <c r="A30" s="25" t="s">
        <v>25</v>
      </c>
      <c r="B30" s="23"/>
      <c r="C30" s="23"/>
      <c r="D30" s="23"/>
      <c r="E30" s="23"/>
      <c r="F30" s="23"/>
      <c r="G30" s="23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50"/>
      <c r="AF30" s="47"/>
      <c r="AG30" s="22"/>
      <c r="AH30" s="14"/>
      <c r="AI30" s="14"/>
      <c r="AJ30" s="14"/>
    </row>
    <row r="31" spans="1:36" s="4" customFormat="1" ht="31.5" customHeight="1" x14ac:dyDescent="0.3">
      <c r="A31" s="25" t="s">
        <v>15</v>
      </c>
      <c r="B31" s="23">
        <f>SUM(B32:B34)</f>
        <v>9644.75</v>
      </c>
      <c r="C31" s="23">
        <f>C32+C33+C34</f>
        <v>9644.75</v>
      </c>
      <c r="D31" s="23">
        <f>D32+D33+D34</f>
        <v>9644.68</v>
      </c>
      <c r="E31" s="23">
        <f t="shared" si="5"/>
        <v>9644.68</v>
      </c>
      <c r="F31" s="23">
        <f t="shared" si="1"/>
        <v>99.999274216542673</v>
      </c>
      <c r="G31" s="23">
        <f t="shared" si="2"/>
        <v>99.999274216542673</v>
      </c>
      <c r="H31" s="23">
        <f>H32+H33+H34</f>
        <v>0</v>
      </c>
      <c r="I31" s="23">
        <f>I32+I33+I34</f>
        <v>0</v>
      </c>
      <c r="J31" s="23">
        <f t="shared" ref="J31:AE31" si="13">J32+J33+J34</f>
        <v>0</v>
      </c>
      <c r="K31" s="23">
        <f t="shared" si="13"/>
        <v>0</v>
      </c>
      <c r="L31" s="23">
        <f t="shared" si="13"/>
        <v>468.98</v>
      </c>
      <c r="M31" s="23">
        <f t="shared" si="13"/>
        <v>23.49</v>
      </c>
      <c r="N31" s="23">
        <f t="shared" si="13"/>
        <v>7339.71</v>
      </c>
      <c r="O31" s="23">
        <f t="shared" si="13"/>
        <v>0</v>
      </c>
      <c r="P31" s="23">
        <f t="shared" si="13"/>
        <v>1059.83</v>
      </c>
      <c r="Q31" s="23">
        <f t="shared" si="13"/>
        <v>1427.63</v>
      </c>
      <c r="R31" s="23">
        <f t="shared" si="13"/>
        <v>439.64</v>
      </c>
      <c r="S31" s="23">
        <f t="shared" si="13"/>
        <v>361</v>
      </c>
      <c r="T31" s="23">
        <f t="shared" si="13"/>
        <v>1.26</v>
      </c>
      <c r="U31" s="23">
        <f t="shared" si="13"/>
        <v>289.63</v>
      </c>
      <c r="V31" s="23">
        <f t="shared" si="13"/>
        <v>0</v>
      </c>
      <c r="W31" s="23">
        <f t="shared" si="13"/>
        <v>207.6</v>
      </c>
      <c r="X31" s="23">
        <f t="shared" si="13"/>
        <v>35.330000000000005</v>
      </c>
      <c r="Y31" s="23">
        <f t="shared" si="13"/>
        <v>35.330000000000005</v>
      </c>
      <c r="Z31" s="23">
        <f t="shared" si="13"/>
        <v>0</v>
      </c>
      <c r="AA31" s="23">
        <f t="shared" si="13"/>
        <v>0</v>
      </c>
      <c r="AB31" s="23">
        <f t="shared" si="13"/>
        <v>300</v>
      </c>
      <c r="AC31" s="23">
        <f t="shared" si="13"/>
        <v>0</v>
      </c>
      <c r="AD31" s="23">
        <f t="shared" si="13"/>
        <v>0</v>
      </c>
      <c r="AE31" s="23">
        <f t="shared" si="13"/>
        <v>7300</v>
      </c>
      <c r="AF31" s="47"/>
      <c r="AG31" s="22"/>
      <c r="AH31" s="14"/>
      <c r="AI31" s="14"/>
      <c r="AJ31" s="14"/>
    </row>
    <row r="32" spans="1:36" s="4" customFormat="1" ht="20.25" customHeight="1" x14ac:dyDescent="0.3">
      <c r="A32" s="28" t="s">
        <v>34</v>
      </c>
      <c r="B32" s="24">
        <f>H32+J32+L32+N32+P32+R32+T32+V32+X32+Z32+AB32+AD32</f>
        <v>0</v>
      </c>
      <c r="C32" s="24">
        <f>H32+J32+L32</f>
        <v>0</v>
      </c>
      <c r="D32" s="24">
        <f>E32</f>
        <v>0</v>
      </c>
      <c r="E32" s="24">
        <f>I32+K32+M32+O32+Q32+S32+U32+W32+Y32+AA32+AC32+AE32</f>
        <v>0</v>
      </c>
      <c r="F32" s="24">
        <v>0</v>
      </c>
      <c r="G32" s="24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7"/>
      <c r="V32" s="27">
        <v>0</v>
      </c>
      <c r="W32" s="27">
        <v>0</v>
      </c>
      <c r="X32" s="27">
        <v>0</v>
      </c>
      <c r="Y32" s="27">
        <v>0</v>
      </c>
      <c r="Z32" s="27">
        <v>0</v>
      </c>
      <c r="AA32" s="27">
        <v>0</v>
      </c>
      <c r="AB32" s="27">
        <v>0</v>
      </c>
      <c r="AC32" s="27">
        <v>0</v>
      </c>
      <c r="AD32" s="27">
        <v>0</v>
      </c>
      <c r="AE32" s="85">
        <v>0</v>
      </c>
      <c r="AF32" s="70"/>
      <c r="AG32" s="22"/>
      <c r="AH32" s="14"/>
      <c r="AI32" s="14"/>
      <c r="AJ32" s="14"/>
    </row>
    <row r="33" spans="1:36" s="4" customFormat="1" ht="185.25" customHeight="1" x14ac:dyDescent="0.2">
      <c r="A33" s="64" t="s">
        <v>13</v>
      </c>
      <c r="B33" s="24">
        <f>H33+J33+L33+N33+P33+R33+T33+V33+X33+Z33+AB33+AD33</f>
        <v>6455.4</v>
      </c>
      <c r="C33" s="24">
        <f>H33+J33+L33+N33+P33+R33+T33+V33+X33+Z33+AB33+AD33</f>
        <v>6455.4</v>
      </c>
      <c r="D33" s="24">
        <v>6455.4</v>
      </c>
      <c r="E33" s="24">
        <f>I33+K33+M33+O33+Q33+S33+U33+W33+Y33+AA33+AC33+AE33</f>
        <v>6455.4</v>
      </c>
      <c r="F33" s="24">
        <f t="shared" si="1"/>
        <v>100</v>
      </c>
      <c r="G33" s="24">
        <f t="shared" si="2"/>
        <v>100</v>
      </c>
      <c r="H33" s="27">
        <v>0</v>
      </c>
      <c r="I33" s="27">
        <v>0</v>
      </c>
      <c r="J33" s="27">
        <v>0</v>
      </c>
      <c r="K33" s="27">
        <v>0</v>
      </c>
      <c r="L33" s="27">
        <v>445.49</v>
      </c>
      <c r="M33" s="27">
        <v>0</v>
      </c>
      <c r="N33" s="27">
        <v>5000</v>
      </c>
      <c r="O33" s="27">
        <v>0</v>
      </c>
      <c r="P33" s="27">
        <v>400</v>
      </c>
      <c r="Q33" s="27">
        <v>634.49</v>
      </c>
      <c r="R33" s="27">
        <v>275.14999999999998</v>
      </c>
      <c r="S33" s="27">
        <v>211</v>
      </c>
      <c r="T33" s="27">
        <v>1.2</v>
      </c>
      <c r="U33" s="27">
        <v>275.14999999999998</v>
      </c>
      <c r="V33" s="27">
        <v>0</v>
      </c>
      <c r="W33" s="27">
        <v>1.2</v>
      </c>
      <c r="X33" s="27">
        <v>33.56</v>
      </c>
      <c r="Y33" s="27">
        <v>33.56</v>
      </c>
      <c r="Z33" s="27">
        <v>0</v>
      </c>
      <c r="AA33" s="27">
        <v>0</v>
      </c>
      <c r="AB33" s="27">
        <v>300</v>
      </c>
      <c r="AC33" s="27">
        <v>0</v>
      </c>
      <c r="AD33" s="27">
        <v>0</v>
      </c>
      <c r="AE33" s="85">
        <v>5300</v>
      </c>
      <c r="AF33" s="88" t="s">
        <v>73</v>
      </c>
      <c r="AG33" s="22"/>
      <c r="AH33" s="14"/>
      <c r="AI33" s="14"/>
      <c r="AJ33" s="14"/>
    </row>
    <row r="34" spans="1:36" s="4" customFormat="1" ht="249" customHeight="1" x14ac:dyDescent="0.2">
      <c r="A34" s="64" t="s">
        <v>14</v>
      </c>
      <c r="B34" s="24">
        <f>H34+J34+L34+N34+P34+R34+T34+V34+X34+Z34+AB34+AD34</f>
        <v>3189.3499999999995</v>
      </c>
      <c r="C34" s="24">
        <f>H34+J34+L34+N34+P34+R34+T34+V34+X34+Z34+AB34+AD34</f>
        <v>3189.3499999999995</v>
      </c>
      <c r="D34" s="24">
        <f>E34</f>
        <v>3189.2799999999997</v>
      </c>
      <c r="E34" s="24">
        <f>I34+K34+M34+O34+Q34+S34+U34+W34+Y34+AA34+AC34+AE34</f>
        <v>3189.2799999999997</v>
      </c>
      <c r="F34" s="24">
        <f t="shared" si="1"/>
        <v>99.997805195416007</v>
      </c>
      <c r="G34" s="24">
        <f t="shared" si="2"/>
        <v>99.997805195416007</v>
      </c>
      <c r="H34" s="27">
        <v>0</v>
      </c>
      <c r="I34" s="27">
        <v>0</v>
      </c>
      <c r="J34" s="27">
        <v>0</v>
      </c>
      <c r="K34" s="27">
        <v>0</v>
      </c>
      <c r="L34" s="27">
        <v>23.49</v>
      </c>
      <c r="M34" s="27">
        <v>23.49</v>
      </c>
      <c r="N34" s="27">
        <f>2000+339.71</f>
        <v>2339.71</v>
      </c>
      <c r="O34" s="27">
        <v>0</v>
      </c>
      <c r="P34" s="27">
        <v>659.83</v>
      </c>
      <c r="Q34" s="27">
        <v>793.14</v>
      </c>
      <c r="R34" s="27">
        <f>150+14.49</f>
        <v>164.49</v>
      </c>
      <c r="S34" s="27">
        <v>150</v>
      </c>
      <c r="T34" s="27">
        <v>0.06</v>
      </c>
      <c r="U34" s="27">
        <v>14.48</v>
      </c>
      <c r="V34" s="27">
        <v>0</v>
      </c>
      <c r="W34" s="27">
        <v>206.4</v>
      </c>
      <c r="X34" s="27">
        <v>1.77</v>
      </c>
      <c r="Y34" s="27">
        <v>1.77</v>
      </c>
      <c r="Z34" s="27">
        <v>0</v>
      </c>
      <c r="AA34" s="27">
        <v>0</v>
      </c>
      <c r="AB34" s="27">
        <v>0</v>
      </c>
      <c r="AC34" s="27">
        <v>0</v>
      </c>
      <c r="AD34" s="27">
        <v>0</v>
      </c>
      <c r="AE34" s="85">
        <v>2000</v>
      </c>
      <c r="AF34" s="89" t="s">
        <v>72</v>
      </c>
      <c r="AG34" s="22"/>
      <c r="AH34" s="14"/>
      <c r="AI34" s="14"/>
      <c r="AJ34" s="14"/>
    </row>
    <row r="35" spans="1:36" s="4" customFormat="1" ht="147.75" customHeight="1" x14ac:dyDescent="0.3">
      <c r="A35" s="66" t="s">
        <v>51</v>
      </c>
      <c r="B35" s="51">
        <f>H35+J35+L35+N35+P35+R35+T35+V35+X35+Z35+AB35+AD35</f>
        <v>39.800000000000004</v>
      </c>
      <c r="C35" s="51">
        <f>K35+M35+O35+Q35+S35+U35+W35+Y35+AA35+AC35</f>
        <v>39.800000000000004</v>
      </c>
      <c r="D35" s="51">
        <f t="shared" ref="D35" si="14">E35</f>
        <v>39.800000000000004</v>
      </c>
      <c r="E35" s="51">
        <f t="shared" ref="E35" si="15">I35+K35+M35+O35+Q35+S35+U35+W35+Y35+AA35+AC35+AE35</f>
        <v>39.800000000000004</v>
      </c>
      <c r="F35" s="51">
        <f t="shared" si="1"/>
        <v>100</v>
      </c>
      <c r="G35" s="51">
        <f t="shared" si="2"/>
        <v>100</v>
      </c>
      <c r="H35" s="52">
        <v>0</v>
      </c>
      <c r="I35" s="52">
        <v>0</v>
      </c>
      <c r="J35" s="52">
        <v>0</v>
      </c>
      <c r="K35" s="52">
        <v>0</v>
      </c>
      <c r="L35" s="52">
        <f>23489/1000</f>
        <v>23.489000000000001</v>
      </c>
      <c r="M35" s="52">
        <v>23.49</v>
      </c>
      <c r="N35" s="52">
        <v>0</v>
      </c>
      <c r="O35" s="52">
        <v>0</v>
      </c>
      <c r="P35" s="52">
        <v>0</v>
      </c>
      <c r="Q35" s="52">
        <v>0</v>
      </c>
      <c r="R35" s="52">
        <f>14482/1000</f>
        <v>14.481999999999999</v>
      </c>
      <c r="S35" s="52">
        <v>0</v>
      </c>
      <c r="T35" s="52">
        <f>63/1000</f>
        <v>6.3E-2</v>
      </c>
      <c r="U35" s="52">
        <v>14.48</v>
      </c>
      <c r="V35" s="52">
        <v>0</v>
      </c>
      <c r="W35" s="52">
        <v>0.06</v>
      </c>
      <c r="X35" s="52">
        <f>1766/1000</f>
        <v>1.766</v>
      </c>
      <c r="Y35" s="52">
        <v>1.77</v>
      </c>
      <c r="Z35" s="52">
        <v>0</v>
      </c>
      <c r="AA35" s="52">
        <v>0</v>
      </c>
      <c r="AB35" s="52">
        <v>0</v>
      </c>
      <c r="AC35" s="52">
        <v>0</v>
      </c>
      <c r="AD35" s="52">
        <v>0</v>
      </c>
      <c r="AE35" s="83">
        <v>0</v>
      </c>
      <c r="AF35" s="70" t="s">
        <v>67</v>
      </c>
      <c r="AG35" s="22"/>
      <c r="AH35" s="14"/>
      <c r="AI35" s="14"/>
      <c r="AJ35" s="14"/>
    </row>
    <row r="36" spans="1:36" s="4" customFormat="1" ht="63.75" customHeight="1" x14ac:dyDescent="0.2">
      <c r="A36" s="53" t="s">
        <v>36</v>
      </c>
      <c r="B36" s="23">
        <f>B38</f>
        <v>51055.8</v>
      </c>
      <c r="C36" s="23">
        <f t="shared" ref="C36:AE36" si="16">C38</f>
        <v>51055.8</v>
      </c>
      <c r="D36" s="23">
        <f t="shared" si="16"/>
        <v>49752.487999999998</v>
      </c>
      <c r="E36" s="23">
        <f t="shared" si="16"/>
        <v>49752.487999999998</v>
      </c>
      <c r="F36" s="23">
        <f t="shared" si="16"/>
        <v>97.447279251328936</v>
      </c>
      <c r="G36" s="23">
        <f t="shared" si="16"/>
        <v>97.447279251328936</v>
      </c>
      <c r="H36" s="23">
        <f t="shared" si="16"/>
        <v>2091.761</v>
      </c>
      <c r="I36" s="23">
        <f t="shared" si="16"/>
        <v>1799.6679999999999</v>
      </c>
      <c r="J36" s="23">
        <f t="shared" si="16"/>
        <v>4194.5249999999996</v>
      </c>
      <c r="K36" s="23">
        <f t="shared" si="16"/>
        <v>3683.4630000000002</v>
      </c>
      <c r="L36" s="23">
        <f t="shared" si="16"/>
        <v>4244.3135899999997</v>
      </c>
      <c r="M36" s="23">
        <f t="shared" si="16"/>
        <v>3428.9810000000002</v>
      </c>
      <c r="N36" s="23">
        <f t="shared" si="16"/>
        <v>4241.4769999999999</v>
      </c>
      <c r="O36" s="23">
        <f t="shared" si="16"/>
        <v>3507.623</v>
      </c>
      <c r="P36" s="23">
        <f t="shared" si="16"/>
        <v>4543.6655099999998</v>
      </c>
      <c r="Q36" s="23">
        <f t="shared" si="16"/>
        <v>4496.442</v>
      </c>
      <c r="R36" s="23">
        <f t="shared" si="16"/>
        <v>4558.7569999999996</v>
      </c>
      <c r="S36" s="23">
        <f t="shared" si="16"/>
        <v>5589.277</v>
      </c>
      <c r="T36" s="23">
        <f t="shared" si="16"/>
        <v>4892.2769000000008</v>
      </c>
      <c r="U36" s="23">
        <f t="shared" si="16"/>
        <v>4965.3209999999999</v>
      </c>
      <c r="V36" s="23">
        <f t="shared" si="16"/>
        <v>4321.5870000000004</v>
      </c>
      <c r="W36" s="23">
        <f t="shared" si="16"/>
        <v>2815.386</v>
      </c>
      <c r="X36" s="23">
        <f t="shared" si="16"/>
        <v>4270.2439999999997</v>
      </c>
      <c r="Y36" s="23">
        <f t="shared" si="16"/>
        <v>3071.288</v>
      </c>
      <c r="Z36" s="23">
        <f t="shared" si="16"/>
        <v>4144.9123799999998</v>
      </c>
      <c r="AA36" s="23">
        <f t="shared" si="16"/>
        <v>2928.4079999999999</v>
      </c>
      <c r="AB36" s="23">
        <f t="shared" si="16"/>
        <v>4167.0398100000002</v>
      </c>
      <c r="AC36" s="23">
        <f t="shared" si="16"/>
        <v>3594.6309999999999</v>
      </c>
      <c r="AD36" s="23">
        <f t="shared" si="16"/>
        <v>5385.2408099999993</v>
      </c>
      <c r="AE36" s="23">
        <f t="shared" si="16"/>
        <v>9872</v>
      </c>
      <c r="AF36" s="47"/>
      <c r="AG36" s="22"/>
      <c r="AH36" s="14"/>
      <c r="AI36" s="14"/>
      <c r="AJ36" s="14"/>
    </row>
    <row r="37" spans="1:36" s="4" customFormat="1" ht="45.75" customHeight="1" x14ac:dyDescent="0.3">
      <c r="A37" s="28" t="s">
        <v>37</v>
      </c>
      <c r="B37" s="24"/>
      <c r="C37" s="23"/>
      <c r="D37" s="23"/>
      <c r="E37" s="23"/>
      <c r="F37" s="23"/>
      <c r="G37" s="23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50"/>
      <c r="AF37" s="47"/>
      <c r="AG37" s="22"/>
      <c r="AH37" s="14"/>
      <c r="AI37" s="14"/>
      <c r="AJ37" s="14"/>
    </row>
    <row r="38" spans="1:36" s="4" customFormat="1" ht="26.25" customHeight="1" x14ac:dyDescent="0.3">
      <c r="A38" s="25" t="s">
        <v>15</v>
      </c>
      <c r="B38" s="23">
        <f>B40+B41+B39</f>
        <v>51055.8</v>
      </c>
      <c r="C38" s="23">
        <f t="shared" ref="C38:E38" si="17">C40+C41+C39</f>
        <v>51055.8</v>
      </c>
      <c r="D38" s="23">
        <f t="shared" si="17"/>
        <v>49752.487999999998</v>
      </c>
      <c r="E38" s="23">
        <f t="shared" si="17"/>
        <v>49752.487999999998</v>
      </c>
      <c r="F38" s="23">
        <f t="shared" si="1"/>
        <v>97.447279251328936</v>
      </c>
      <c r="G38" s="23">
        <f t="shared" si="2"/>
        <v>97.447279251328936</v>
      </c>
      <c r="H38" s="23">
        <f>H40+H41+H39</f>
        <v>2091.761</v>
      </c>
      <c r="I38" s="23">
        <f t="shared" ref="I38:AE38" si="18">I40+I41+I39</f>
        <v>1799.6679999999999</v>
      </c>
      <c r="J38" s="23">
        <f t="shared" si="18"/>
        <v>4194.5249999999996</v>
      </c>
      <c r="K38" s="23">
        <f t="shared" si="18"/>
        <v>3683.4630000000002</v>
      </c>
      <c r="L38" s="23">
        <f t="shared" si="18"/>
        <v>4244.3135899999997</v>
      </c>
      <c r="M38" s="23">
        <f t="shared" si="18"/>
        <v>3428.9810000000002</v>
      </c>
      <c r="N38" s="23">
        <f t="shared" si="18"/>
        <v>4241.4769999999999</v>
      </c>
      <c r="O38" s="23">
        <f t="shared" si="18"/>
        <v>3507.623</v>
      </c>
      <c r="P38" s="23">
        <f t="shared" si="18"/>
        <v>4543.6655099999998</v>
      </c>
      <c r="Q38" s="23">
        <f t="shared" si="18"/>
        <v>4496.442</v>
      </c>
      <c r="R38" s="23">
        <f t="shared" si="18"/>
        <v>4558.7569999999996</v>
      </c>
      <c r="S38" s="23">
        <f t="shared" si="18"/>
        <v>5589.277</v>
      </c>
      <c r="T38" s="23">
        <f t="shared" si="18"/>
        <v>4892.2769000000008</v>
      </c>
      <c r="U38" s="23">
        <f t="shared" si="18"/>
        <v>4965.3209999999999</v>
      </c>
      <c r="V38" s="23">
        <f t="shared" si="18"/>
        <v>4321.5870000000004</v>
      </c>
      <c r="W38" s="23">
        <f t="shared" si="18"/>
        <v>2815.386</v>
      </c>
      <c r="X38" s="23">
        <f t="shared" si="18"/>
        <v>4270.2439999999997</v>
      </c>
      <c r="Y38" s="23">
        <f t="shared" si="18"/>
        <v>3071.288</v>
      </c>
      <c r="Z38" s="23">
        <f t="shared" si="18"/>
        <v>4144.9123799999998</v>
      </c>
      <c r="AA38" s="23">
        <f t="shared" si="18"/>
        <v>2928.4079999999999</v>
      </c>
      <c r="AB38" s="23">
        <f t="shared" si="18"/>
        <v>4167.0398100000002</v>
      </c>
      <c r="AC38" s="23">
        <f t="shared" si="18"/>
        <v>3594.6309999999999</v>
      </c>
      <c r="AD38" s="23">
        <f t="shared" si="18"/>
        <v>5385.2408099999993</v>
      </c>
      <c r="AE38" s="23">
        <f t="shared" si="18"/>
        <v>9872</v>
      </c>
      <c r="AF38" s="101" t="s">
        <v>68</v>
      </c>
      <c r="AG38" s="22"/>
      <c r="AH38" s="14"/>
      <c r="AI38" s="14"/>
      <c r="AJ38" s="14"/>
    </row>
    <row r="39" spans="1:36" s="4" customFormat="1" ht="26.25" customHeight="1" x14ac:dyDescent="0.3">
      <c r="A39" s="28" t="s">
        <v>34</v>
      </c>
      <c r="B39" s="24">
        <f>SUM(H39:AD39)</f>
        <v>0</v>
      </c>
      <c r="C39" s="24">
        <f t="shared" ref="C39:C78" si="19">H39</f>
        <v>0</v>
      </c>
      <c r="D39" s="24">
        <f t="shared" si="4"/>
        <v>0</v>
      </c>
      <c r="E39" s="24">
        <f t="shared" si="5"/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>
        <v>0</v>
      </c>
      <c r="P39" s="24">
        <v>0</v>
      </c>
      <c r="Q39" s="24">
        <v>0</v>
      </c>
      <c r="R39" s="24">
        <v>0</v>
      </c>
      <c r="S39" s="24">
        <v>0</v>
      </c>
      <c r="T39" s="24">
        <v>0</v>
      </c>
      <c r="U39" s="24">
        <v>0</v>
      </c>
      <c r="V39" s="24">
        <v>0</v>
      </c>
      <c r="W39" s="24">
        <v>0</v>
      </c>
      <c r="X39" s="24">
        <v>0</v>
      </c>
      <c r="Y39" s="24">
        <v>0</v>
      </c>
      <c r="Z39" s="24">
        <v>0</v>
      </c>
      <c r="AA39" s="24">
        <v>0</v>
      </c>
      <c r="AB39" s="24">
        <v>0</v>
      </c>
      <c r="AC39" s="24">
        <v>0</v>
      </c>
      <c r="AD39" s="24">
        <v>0</v>
      </c>
      <c r="AE39" s="85">
        <v>0</v>
      </c>
      <c r="AF39" s="102"/>
      <c r="AG39" s="22"/>
      <c r="AH39" s="14"/>
      <c r="AI39" s="14"/>
      <c r="AJ39" s="14"/>
    </row>
    <row r="40" spans="1:36" s="4" customFormat="1" ht="27" customHeight="1" x14ac:dyDescent="0.3">
      <c r="A40" s="28" t="s">
        <v>13</v>
      </c>
      <c r="B40" s="24">
        <f>SUM(H40:AD40)</f>
        <v>0</v>
      </c>
      <c r="C40" s="24">
        <f t="shared" si="19"/>
        <v>0</v>
      </c>
      <c r="D40" s="24">
        <f t="shared" si="4"/>
        <v>0</v>
      </c>
      <c r="E40" s="24">
        <f t="shared" si="5"/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v>0</v>
      </c>
      <c r="P40" s="24">
        <v>0</v>
      </c>
      <c r="Q40" s="24">
        <v>0</v>
      </c>
      <c r="R40" s="24">
        <v>0</v>
      </c>
      <c r="S40" s="24">
        <v>0</v>
      </c>
      <c r="T40" s="24">
        <v>0</v>
      </c>
      <c r="U40" s="24">
        <v>0</v>
      </c>
      <c r="V40" s="24">
        <v>0</v>
      </c>
      <c r="W40" s="24">
        <v>0</v>
      </c>
      <c r="X40" s="24">
        <v>0</v>
      </c>
      <c r="Y40" s="24">
        <v>0</v>
      </c>
      <c r="Z40" s="24">
        <v>0</v>
      </c>
      <c r="AA40" s="24">
        <v>0</v>
      </c>
      <c r="AB40" s="24">
        <v>0</v>
      </c>
      <c r="AC40" s="24">
        <v>0</v>
      </c>
      <c r="AD40" s="24">
        <v>0</v>
      </c>
      <c r="AE40" s="85">
        <v>0</v>
      </c>
      <c r="AF40" s="102"/>
      <c r="AG40" s="22"/>
      <c r="AH40" s="14"/>
      <c r="AI40" s="14"/>
      <c r="AJ40" s="14"/>
    </row>
    <row r="41" spans="1:36" s="4" customFormat="1" ht="27" customHeight="1" x14ac:dyDescent="0.3">
      <c r="A41" s="28" t="s">
        <v>14</v>
      </c>
      <c r="B41" s="24">
        <f>H41+J41+L41+N41+P41+R41+T41+V41+X41+Z41+AB41+AD41</f>
        <v>51055.8</v>
      </c>
      <c r="C41" s="24">
        <f>H41+J41+L41+N41+P41+R41+T41+V41+X41+Z41+AB41+AD41</f>
        <v>51055.8</v>
      </c>
      <c r="D41" s="24">
        <f>E41</f>
        <v>49752.487999999998</v>
      </c>
      <c r="E41" s="24">
        <f>I41+K41+M41+O41+Q41+S41+U41+W41+Y41+AA41+AC41+AE41</f>
        <v>49752.487999999998</v>
      </c>
      <c r="F41" s="24">
        <f t="shared" si="1"/>
        <v>97.447279251328936</v>
      </c>
      <c r="G41" s="24">
        <f t="shared" si="2"/>
        <v>97.447279251328936</v>
      </c>
      <c r="H41" s="27">
        <f>2091761/1000</f>
        <v>2091.761</v>
      </c>
      <c r="I41" s="27">
        <v>1799.6679999999999</v>
      </c>
      <c r="J41" s="27">
        <f>4194525/1000</f>
        <v>4194.5249999999996</v>
      </c>
      <c r="K41" s="27">
        <v>3683.4630000000002</v>
      </c>
      <c r="L41" s="27">
        <f>4244313.59/1000</f>
        <v>4244.3135899999997</v>
      </c>
      <c r="M41" s="27">
        <v>3428.9810000000002</v>
      </c>
      <c r="N41" s="27">
        <f>4241477/1000</f>
        <v>4241.4769999999999</v>
      </c>
      <c r="O41" s="27">
        <v>3507.623</v>
      </c>
      <c r="P41" s="27">
        <f>4543665.51/1000</f>
        <v>4543.6655099999998</v>
      </c>
      <c r="Q41" s="27">
        <v>4496.442</v>
      </c>
      <c r="R41" s="27">
        <f>4558757/1000</f>
        <v>4558.7569999999996</v>
      </c>
      <c r="S41" s="27">
        <v>5589.277</v>
      </c>
      <c r="T41" s="27">
        <f>4892276.9/1000</f>
        <v>4892.2769000000008</v>
      </c>
      <c r="U41" s="27">
        <f>4965.321</f>
        <v>4965.3209999999999</v>
      </c>
      <c r="V41" s="27">
        <f>4321587/1000</f>
        <v>4321.5870000000004</v>
      </c>
      <c r="W41" s="27">
        <f>2815.386</f>
        <v>2815.386</v>
      </c>
      <c r="X41" s="27">
        <f>4270244/1000</f>
        <v>4270.2439999999997</v>
      </c>
      <c r="Y41" s="27">
        <v>3071.288</v>
      </c>
      <c r="Z41" s="27">
        <f>4144912.38/1000</f>
        <v>4144.9123799999998</v>
      </c>
      <c r="AA41" s="27">
        <f>2928.408</f>
        <v>2928.4079999999999</v>
      </c>
      <c r="AB41" s="27">
        <f>4167039.81/1000</f>
        <v>4167.0398100000002</v>
      </c>
      <c r="AC41" s="27">
        <v>3594.6309999999999</v>
      </c>
      <c r="AD41" s="27">
        <f>5385240.81/1000</f>
        <v>5385.2408099999993</v>
      </c>
      <c r="AE41" s="85">
        <v>9872</v>
      </c>
      <c r="AF41" s="103"/>
      <c r="AG41" s="22"/>
      <c r="AH41" s="14"/>
      <c r="AI41" s="14"/>
      <c r="AJ41" s="14"/>
    </row>
    <row r="42" spans="1:36" s="4" customFormat="1" ht="57.75" customHeight="1" x14ac:dyDescent="0.2">
      <c r="A42" s="53" t="s">
        <v>38</v>
      </c>
      <c r="B42" s="23"/>
      <c r="C42" s="23"/>
      <c r="D42" s="23"/>
      <c r="E42" s="23"/>
      <c r="F42" s="23"/>
      <c r="G42" s="23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50"/>
      <c r="AF42" s="47"/>
      <c r="AG42" s="22"/>
      <c r="AH42" s="14"/>
      <c r="AI42" s="14"/>
      <c r="AJ42" s="14"/>
    </row>
    <row r="43" spans="1:36" s="4" customFormat="1" ht="25.5" customHeight="1" x14ac:dyDescent="0.3">
      <c r="A43" s="25" t="s">
        <v>15</v>
      </c>
      <c r="B43" s="23">
        <f>B44+B45+B46</f>
        <v>296.60000000000002</v>
      </c>
      <c r="C43" s="23">
        <f>C44+C45+C46</f>
        <v>296.60000000000002</v>
      </c>
      <c r="D43" s="23">
        <f>D44+D45+D46</f>
        <v>296.60000000000002</v>
      </c>
      <c r="E43" s="23">
        <f>E44+E45+E46</f>
        <v>296.60000000000002</v>
      </c>
      <c r="F43" s="23">
        <f t="shared" si="1"/>
        <v>100</v>
      </c>
      <c r="G43" s="23">
        <f t="shared" si="2"/>
        <v>100</v>
      </c>
      <c r="H43" s="23">
        <f>SUM(H44:H46)</f>
        <v>0</v>
      </c>
      <c r="I43" s="23">
        <f>SUM(I44:I46)</f>
        <v>0</v>
      </c>
      <c r="J43" s="23">
        <f t="shared" ref="J43:AE43" si="20">SUM(J44:J46)</f>
        <v>137.9</v>
      </c>
      <c r="K43" s="23">
        <f t="shared" si="20"/>
        <v>0</v>
      </c>
      <c r="L43" s="23">
        <f t="shared" si="20"/>
        <v>46.5</v>
      </c>
      <c r="M43" s="23">
        <f t="shared" si="20"/>
        <v>137.9</v>
      </c>
      <c r="N43" s="23">
        <f t="shared" si="20"/>
        <v>0</v>
      </c>
      <c r="O43" s="23">
        <f t="shared" si="20"/>
        <v>0</v>
      </c>
      <c r="P43" s="23">
        <f t="shared" si="20"/>
        <v>0</v>
      </c>
      <c r="Q43" s="23">
        <f t="shared" si="20"/>
        <v>46.5</v>
      </c>
      <c r="R43" s="23">
        <f t="shared" si="20"/>
        <v>0</v>
      </c>
      <c r="S43" s="23">
        <f t="shared" si="20"/>
        <v>0</v>
      </c>
      <c r="T43" s="23">
        <f t="shared" si="20"/>
        <v>0</v>
      </c>
      <c r="U43" s="23">
        <f t="shared" si="20"/>
        <v>0</v>
      </c>
      <c r="V43" s="23">
        <f t="shared" si="20"/>
        <v>0</v>
      </c>
      <c r="W43" s="23">
        <f t="shared" si="20"/>
        <v>0</v>
      </c>
      <c r="X43" s="23">
        <f t="shared" si="20"/>
        <v>112.2</v>
      </c>
      <c r="Y43" s="23">
        <f t="shared" si="20"/>
        <v>0</v>
      </c>
      <c r="Z43" s="23">
        <f t="shared" si="20"/>
        <v>0</v>
      </c>
      <c r="AA43" s="23">
        <f t="shared" si="20"/>
        <v>0</v>
      </c>
      <c r="AB43" s="23">
        <f t="shared" si="20"/>
        <v>0</v>
      </c>
      <c r="AC43" s="23">
        <f t="shared" si="20"/>
        <v>112.2</v>
      </c>
      <c r="AD43" s="23">
        <f t="shared" si="20"/>
        <v>0</v>
      </c>
      <c r="AE43" s="23">
        <f t="shared" si="20"/>
        <v>0</v>
      </c>
      <c r="AF43" s="101" t="s">
        <v>61</v>
      </c>
      <c r="AG43" s="22"/>
      <c r="AH43" s="14"/>
      <c r="AI43" s="14"/>
      <c r="AJ43" s="14"/>
    </row>
    <row r="44" spans="1:36" s="4" customFormat="1" ht="25.5" customHeight="1" x14ac:dyDescent="0.3">
      <c r="A44" s="28" t="s">
        <v>34</v>
      </c>
      <c r="B44" s="24">
        <f>H44++J44+L44+N44+P44+R44+T44+V44+X44+Z44+AB44+AD44</f>
        <v>0</v>
      </c>
      <c r="C44" s="24">
        <f>H44</f>
        <v>0</v>
      </c>
      <c r="D44" s="24">
        <f t="shared" si="4"/>
        <v>0</v>
      </c>
      <c r="E44" s="24">
        <f>I44+K44+M44+O44+Q44+S44+U44+W44+Y44+AA44+AC44+AE44</f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4">
        <v>0</v>
      </c>
      <c r="P44" s="24">
        <v>0</v>
      </c>
      <c r="Q44" s="24">
        <v>0</v>
      </c>
      <c r="R44" s="24">
        <v>0</v>
      </c>
      <c r="S44" s="24">
        <v>0</v>
      </c>
      <c r="T44" s="24">
        <v>0</v>
      </c>
      <c r="U44" s="24">
        <v>0</v>
      </c>
      <c r="V44" s="24">
        <v>0</v>
      </c>
      <c r="W44" s="24">
        <v>0</v>
      </c>
      <c r="X44" s="24">
        <v>0</v>
      </c>
      <c r="Y44" s="24">
        <v>0</v>
      </c>
      <c r="Z44" s="24">
        <v>0</v>
      </c>
      <c r="AA44" s="24">
        <v>0</v>
      </c>
      <c r="AB44" s="24">
        <v>0</v>
      </c>
      <c r="AC44" s="24">
        <v>0</v>
      </c>
      <c r="AD44" s="24">
        <v>0</v>
      </c>
      <c r="AE44" s="85">
        <v>0</v>
      </c>
      <c r="AF44" s="102"/>
      <c r="AG44" s="22"/>
      <c r="AH44" s="14"/>
      <c r="AI44" s="14"/>
      <c r="AJ44" s="14"/>
    </row>
    <row r="45" spans="1:36" s="6" customFormat="1" ht="24.75" customHeight="1" x14ac:dyDescent="0.3">
      <c r="A45" s="28" t="s">
        <v>13</v>
      </c>
      <c r="B45" s="24">
        <f t="shared" ref="B45:B46" si="21">H45++J45+L45+N45+P45+R45+T45+V45+X45+Z45+AB45+AD45</f>
        <v>0</v>
      </c>
      <c r="C45" s="24">
        <f t="shared" ref="C45" si="22">H45</f>
        <v>0</v>
      </c>
      <c r="D45" s="24">
        <f t="shared" si="4"/>
        <v>0</v>
      </c>
      <c r="E45" s="24">
        <f t="shared" si="5"/>
        <v>0</v>
      </c>
      <c r="F45" s="24">
        <v>0</v>
      </c>
      <c r="G45" s="24">
        <v>0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v>0</v>
      </c>
      <c r="O45" s="27">
        <v>0</v>
      </c>
      <c r="P45" s="27">
        <v>0</v>
      </c>
      <c r="Q45" s="27">
        <v>0</v>
      </c>
      <c r="R45" s="27">
        <v>0</v>
      </c>
      <c r="S45" s="27">
        <v>0</v>
      </c>
      <c r="T45" s="27">
        <v>0</v>
      </c>
      <c r="U45" s="27">
        <v>0</v>
      </c>
      <c r="V45" s="27">
        <v>0</v>
      </c>
      <c r="W45" s="27">
        <v>0</v>
      </c>
      <c r="X45" s="27">
        <v>0</v>
      </c>
      <c r="Y45" s="27">
        <v>0</v>
      </c>
      <c r="Z45" s="27">
        <v>0</v>
      </c>
      <c r="AA45" s="27">
        <v>0</v>
      </c>
      <c r="AB45" s="27">
        <v>0</v>
      </c>
      <c r="AC45" s="27">
        <v>0</v>
      </c>
      <c r="AD45" s="27">
        <v>0</v>
      </c>
      <c r="AE45" s="86">
        <v>0</v>
      </c>
      <c r="AF45" s="102"/>
      <c r="AG45" s="29"/>
      <c r="AH45" s="14"/>
      <c r="AI45" s="14"/>
      <c r="AJ45" s="14"/>
    </row>
    <row r="46" spans="1:36" s="4" customFormat="1" ht="29.25" customHeight="1" x14ac:dyDescent="0.3">
      <c r="A46" s="28" t="s">
        <v>14</v>
      </c>
      <c r="B46" s="24">
        <f t="shared" si="21"/>
        <v>296.60000000000002</v>
      </c>
      <c r="C46" s="24">
        <f>H46+J46+L46+N46+P46+R46+T46+V46+X46+Z46+AB46+AD46</f>
        <v>296.60000000000002</v>
      </c>
      <c r="D46" s="24">
        <f>E46</f>
        <v>296.60000000000002</v>
      </c>
      <c r="E46" s="24">
        <f>I46+K46+M46+O46+Q46+S46+U46+W46+Y46+AA46+AC46+AE46</f>
        <v>296.60000000000002</v>
      </c>
      <c r="F46" s="24">
        <f t="shared" si="1"/>
        <v>100</v>
      </c>
      <c r="G46" s="24">
        <f t="shared" si="2"/>
        <v>100</v>
      </c>
      <c r="H46" s="27">
        <v>0</v>
      </c>
      <c r="I46" s="27">
        <v>0</v>
      </c>
      <c r="J46" s="27">
        <f>137900/1000</f>
        <v>137.9</v>
      </c>
      <c r="K46" s="27">
        <v>0</v>
      </c>
      <c r="L46" s="27">
        <f>46500/1000</f>
        <v>46.5</v>
      </c>
      <c r="M46" s="27">
        <v>137.9</v>
      </c>
      <c r="N46" s="27">
        <v>0</v>
      </c>
      <c r="O46" s="27">
        <v>0</v>
      </c>
      <c r="P46" s="27">
        <v>0</v>
      </c>
      <c r="Q46" s="27">
        <v>46.5</v>
      </c>
      <c r="R46" s="27">
        <v>0</v>
      </c>
      <c r="S46" s="27">
        <v>0</v>
      </c>
      <c r="T46" s="27">
        <v>0</v>
      </c>
      <c r="U46" s="27">
        <v>0</v>
      </c>
      <c r="V46" s="27">
        <v>0</v>
      </c>
      <c r="W46" s="27">
        <v>0</v>
      </c>
      <c r="X46" s="27">
        <f>112200/1000</f>
        <v>112.2</v>
      </c>
      <c r="Y46" s="27">
        <v>0</v>
      </c>
      <c r="Z46" s="27">
        <v>0</v>
      </c>
      <c r="AA46" s="27">
        <v>0</v>
      </c>
      <c r="AB46" s="27">
        <v>0</v>
      </c>
      <c r="AC46" s="27">
        <v>112.2</v>
      </c>
      <c r="AD46" s="27">
        <v>0</v>
      </c>
      <c r="AE46" s="85">
        <v>0</v>
      </c>
      <c r="AF46" s="103"/>
      <c r="AG46" s="22"/>
      <c r="AH46" s="14"/>
      <c r="AI46" s="14"/>
      <c r="AJ46" s="14"/>
    </row>
    <row r="47" spans="1:36" s="4" customFormat="1" ht="37.5" customHeight="1" x14ac:dyDescent="0.3">
      <c r="A47" s="25" t="s">
        <v>76</v>
      </c>
      <c r="B47" s="24"/>
      <c r="C47" s="23"/>
      <c r="D47" s="23"/>
      <c r="E47" s="23"/>
      <c r="F47" s="23"/>
      <c r="G47" s="23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50"/>
      <c r="AF47" s="47"/>
      <c r="AG47" s="22"/>
      <c r="AH47" s="14"/>
      <c r="AI47" s="14"/>
      <c r="AJ47" s="14"/>
    </row>
    <row r="48" spans="1:36" s="4" customFormat="1" ht="27" customHeight="1" x14ac:dyDescent="0.3">
      <c r="A48" s="25" t="s">
        <v>15</v>
      </c>
      <c r="B48" s="23">
        <f>B50+B56</f>
        <v>17365.306140000001</v>
      </c>
      <c r="C48" s="23">
        <f>C50+C56</f>
        <v>17365.306140000001</v>
      </c>
      <c r="D48" s="23">
        <f>E48</f>
        <v>17365.3</v>
      </c>
      <c r="E48" s="23">
        <f>E50+E56</f>
        <v>17365.3</v>
      </c>
      <c r="F48" s="23">
        <f t="shared" si="1"/>
        <v>99.999964642143652</v>
      </c>
      <c r="G48" s="23">
        <f t="shared" si="2"/>
        <v>99.999964642143652</v>
      </c>
      <c r="H48" s="21">
        <f>H50+H56</f>
        <v>0</v>
      </c>
      <c r="I48" s="21">
        <f>I50+I56</f>
        <v>0</v>
      </c>
      <c r="J48" s="21">
        <f t="shared" ref="J48:AE48" si="23">J50+J56</f>
        <v>0</v>
      </c>
      <c r="K48" s="21">
        <f t="shared" si="23"/>
        <v>0</v>
      </c>
      <c r="L48" s="21">
        <f t="shared" si="23"/>
        <v>0</v>
      </c>
      <c r="M48" s="21">
        <f t="shared" si="23"/>
        <v>0</v>
      </c>
      <c r="N48" s="21">
        <f t="shared" si="23"/>
        <v>3500</v>
      </c>
      <c r="O48" s="21">
        <f t="shared" si="23"/>
        <v>3500</v>
      </c>
      <c r="P48" s="21">
        <f t="shared" si="23"/>
        <v>0</v>
      </c>
      <c r="Q48" s="21">
        <f t="shared" si="23"/>
        <v>0</v>
      </c>
      <c r="R48" s="21">
        <f t="shared" si="23"/>
        <v>10365.306140000001</v>
      </c>
      <c r="S48" s="21">
        <f t="shared" si="23"/>
        <v>2407.1799999999998</v>
      </c>
      <c r="T48" s="21">
        <f t="shared" si="23"/>
        <v>0</v>
      </c>
      <c r="U48" s="21">
        <f t="shared" si="23"/>
        <v>0</v>
      </c>
      <c r="V48" s="21">
        <f t="shared" si="23"/>
        <v>0</v>
      </c>
      <c r="W48" s="21">
        <f t="shared" si="23"/>
        <v>0</v>
      </c>
      <c r="X48" s="21">
        <f t="shared" si="23"/>
        <v>0</v>
      </c>
      <c r="Y48" s="21">
        <f t="shared" si="23"/>
        <v>0</v>
      </c>
      <c r="Z48" s="21">
        <f t="shared" si="23"/>
        <v>0</v>
      </c>
      <c r="AA48" s="21">
        <f t="shared" si="23"/>
        <v>0</v>
      </c>
      <c r="AB48" s="21">
        <f t="shared" si="23"/>
        <v>3500</v>
      </c>
      <c r="AC48" s="21">
        <f t="shared" si="23"/>
        <v>3500</v>
      </c>
      <c r="AD48" s="21">
        <f t="shared" si="23"/>
        <v>0</v>
      </c>
      <c r="AE48" s="21">
        <f t="shared" si="23"/>
        <v>7958.12</v>
      </c>
      <c r="AF48" s="47"/>
      <c r="AG48" s="22"/>
      <c r="AH48" s="14"/>
      <c r="AI48" s="14"/>
      <c r="AJ48" s="14"/>
    </row>
    <row r="49" spans="1:36" s="4" customFormat="1" ht="58.5" customHeight="1" x14ac:dyDescent="0.3">
      <c r="A49" s="28" t="s">
        <v>48</v>
      </c>
      <c r="B49" s="24"/>
      <c r="C49" s="23"/>
      <c r="D49" s="23"/>
      <c r="E49" s="23"/>
      <c r="F49" s="23"/>
      <c r="G49" s="23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50"/>
      <c r="AF49" s="101" t="s">
        <v>75</v>
      </c>
      <c r="AG49" s="22"/>
      <c r="AH49" s="14"/>
      <c r="AI49" s="14"/>
      <c r="AJ49" s="14"/>
    </row>
    <row r="50" spans="1:36" s="4" customFormat="1" ht="23.25" customHeight="1" x14ac:dyDescent="0.3">
      <c r="A50" s="25" t="s">
        <v>15</v>
      </c>
      <c r="B50" s="23">
        <f>B51+B52+B53+B54</f>
        <v>10365.306140000001</v>
      </c>
      <c r="C50" s="23">
        <f t="shared" ref="C50" si="24">C51+C52+C53+C54</f>
        <v>10365.306140000001</v>
      </c>
      <c r="D50" s="23">
        <f>D51+D52+D53+D54</f>
        <v>10365.299999999999</v>
      </c>
      <c r="E50" s="23">
        <f>E51+E52+E53+E54</f>
        <v>10365.299999999999</v>
      </c>
      <c r="F50" s="23">
        <f t="shared" si="1"/>
        <v>99.999940763929999</v>
      </c>
      <c r="G50" s="23">
        <f t="shared" si="2"/>
        <v>99.999940763929999</v>
      </c>
      <c r="H50" s="21">
        <f>SUM(H51:H54)</f>
        <v>0</v>
      </c>
      <c r="I50" s="21">
        <f>I51+I52+I53+I54</f>
        <v>0</v>
      </c>
      <c r="J50" s="21">
        <f t="shared" ref="J50:AE50" si="25">J51+J52+J53+J54</f>
        <v>0</v>
      </c>
      <c r="K50" s="21">
        <f t="shared" si="25"/>
        <v>0</v>
      </c>
      <c r="L50" s="21">
        <f t="shared" si="25"/>
        <v>0</v>
      </c>
      <c r="M50" s="21">
        <f t="shared" si="25"/>
        <v>0</v>
      </c>
      <c r="N50" s="21">
        <f t="shared" si="25"/>
        <v>0</v>
      </c>
      <c r="O50" s="21">
        <f t="shared" si="25"/>
        <v>0</v>
      </c>
      <c r="P50" s="21">
        <f t="shared" si="25"/>
        <v>0</v>
      </c>
      <c r="Q50" s="21">
        <f t="shared" si="25"/>
        <v>0</v>
      </c>
      <c r="R50" s="21">
        <f t="shared" si="25"/>
        <v>10365.306140000001</v>
      </c>
      <c r="S50" s="21">
        <f t="shared" si="25"/>
        <v>2407.1799999999998</v>
      </c>
      <c r="T50" s="21">
        <f t="shared" si="25"/>
        <v>0</v>
      </c>
      <c r="U50" s="21">
        <f t="shared" si="25"/>
        <v>0</v>
      </c>
      <c r="V50" s="21">
        <f t="shared" si="25"/>
        <v>0</v>
      </c>
      <c r="W50" s="21">
        <f t="shared" si="25"/>
        <v>0</v>
      </c>
      <c r="X50" s="21">
        <f t="shared" si="25"/>
        <v>0</v>
      </c>
      <c r="Y50" s="21">
        <f t="shared" si="25"/>
        <v>0</v>
      </c>
      <c r="Z50" s="21">
        <f t="shared" si="25"/>
        <v>0</v>
      </c>
      <c r="AA50" s="21">
        <f t="shared" si="25"/>
        <v>0</v>
      </c>
      <c r="AB50" s="21">
        <f t="shared" si="25"/>
        <v>0</v>
      </c>
      <c r="AC50" s="21">
        <f t="shared" si="25"/>
        <v>0</v>
      </c>
      <c r="AD50" s="21">
        <f t="shared" si="25"/>
        <v>0</v>
      </c>
      <c r="AE50" s="21">
        <f t="shared" si="25"/>
        <v>7958.12</v>
      </c>
      <c r="AF50" s="109"/>
      <c r="AG50" s="22"/>
      <c r="AH50" s="14"/>
      <c r="AI50" s="14"/>
      <c r="AJ50" s="14"/>
    </row>
    <row r="51" spans="1:36" s="4" customFormat="1" ht="25.5" customHeight="1" x14ac:dyDescent="0.3">
      <c r="A51" s="28" t="s">
        <v>34</v>
      </c>
      <c r="B51" s="24">
        <f>H51+J51+L51+N51+P51+R51+T51+V51+X51+Z51+AB51+AD51</f>
        <v>0</v>
      </c>
      <c r="C51" s="24">
        <f>H51</f>
        <v>0</v>
      </c>
      <c r="D51" s="24">
        <f>E51</f>
        <v>0</v>
      </c>
      <c r="E51" s="24">
        <f>I51+K51+M51+O51+Q51+S51+U51+W51+Y51+AA51+AC51+AE51</f>
        <v>0</v>
      </c>
      <c r="F51" s="24">
        <v>0</v>
      </c>
      <c r="G51" s="24">
        <v>0</v>
      </c>
      <c r="H51" s="27">
        <v>0</v>
      </c>
      <c r="I51" s="27">
        <v>0</v>
      </c>
      <c r="J51" s="27">
        <v>0</v>
      </c>
      <c r="K51" s="27">
        <v>0</v>
      </c>
      <c r="L51" s="27">
        <v>0</v>
      </c>
      <c r="M51" s="27">
        <v>0</v>
      </c>
      <c r="N51" s="27">
        <v>0</v>
      </c>
      <c r="O51" s="27">
        <v>0</v>
      </c>
      <c r="P51" s="27">
        <v>0</v>
      </c>
      <c r="Q51" s="27">
        <v>0</v>
      </c>
      <c r="R51" s="27">
        <v>0</v>
      </c>
      <c r="S51" s="27">
        <v>0</v>
      </c>
      <c r="T51" s="27">
        <v>0</v>
      </c>
      <c r="U51" s="27">
        <v>0</v>
      </c>
      <c r="V51" s="27">
        <v>0</v>
      </c>
      <c r="W51" s="27">
        <v>0</v>
      </c>
      <c r="X51" s="27">
        <v>0</v>
      </c>
      <c r="Y51" s="27">
        <v>0</v>
      </c>
      <c r="Z51" s="27">
        <v>0</v>
      </c>
      <c r="AA51" s="27">
        <v>0</v>
      </c>
      <c r="AB51" s="27">
        <v>0</v>
      </c>
      <c r="AC51" s="27">
        <v>0</v>
      </c>
      <c r="AD51" s="27">
        <v>0</v>
      </c>
      <c r="AE51" s="27">
        <v>0</v>
      </c>
      <c r="AF51" s="109"/>
      <c r="AG51" s="22"/>
      <c r="AH51" s="14"/>
      <c r="AI51" s="14"/>
      <c r="AJ51" s="14"/>
    </row>
    <row r="52" spans="1:36" s="4" customFormat="1" ht="25.5" customHeight="1" x14ac:dyDescent="0.3">
      <c r="A52" s="28" t="s">
        <v>13</v>
      </c>
      <c r="B52" s="24">
        <f t="shared" ref="B52:B53" si="26">H52+J52+L52+N52+P52+R52+T52+V52+X52+Z52+AB52+AD52</f>
        <v>0</v>
      </c>
      <c r="C52" s="24">
        <f t="shared" ref="C52:C53" si="27">H52</f>
        <v>0</v>
      </c>
      <c r="D52" s="24">
        <f t="shared" ref="D52:D53" si="28">E52</f>
        <v>0</v>
      </c>
      <c r="E52" s="24">
        <f t="shared" si="5"/>
        <v>0</v>
      </c>
      <c r="F52" s="24">
        <v>0</v>
      </c>
      <c r="G52" s="24">
        <v>0</v>
      </c>
      <c r="H52" s="27">
        <v>0</v>
      </c>
      <c r="I52" s="27">
        <v>0</v>
      </c>
      <c r="J52" s="27">
        <v>0</v>
      </c>
      <c r="K52" s="27">
        <v>0</v>
      </c>
      <c r="L52" s="27">
        <v>0</v>
      </c>
      <c r="M52" s="27">
        <v>0</v>
      </c>
      <c r="N52" s="27">
        <v>0</v>
      </c>
      <c r="O52" s="27">
        <v>0</v>
      </c>
      <c r="P52" s="27">
        <v>0</v>
      </c>
      <c r="Q52" s="27">
        <v>0</v>
      </c>
      <c r="R52" s="27">
        <v>0</v>
      </c>
      <c r="S52" s="27">
        <v>0</v>
      </c>
      <c r="T52" s="27">
        <v>0</v>
      </c>
      <c r="U52" s="27">
        <v>0</v>
      </c>
      <c r="V52" s="27">
        <v>0</v>
      </c>
      <c r="W52" s="27">
        <v>0</v>
      </c>
      <c r="X52" s="27">
        <v>0</v>
      </c>
      <c r="Y52" s="27">
        <v>0</v>
      </c>
      <c r="Z52" s="27">
        <v>0</v>
      </c>
      <c r="AA52" s="27">
        <v>0</v>
      </c>
      <c r="AB52" s="27">
        <v>0</v>
      </c>
      <c r="AC52" s="27">
        <v>0</v>
      </c>
      <c r="AD52" s="27">
        <v>0</v>
      </c>
      <c r="AE52" s="27">
        <v>0</v>
      </c>
      <c r="AF52" s="109"/>
      <c r="AG52" s="22"/>
      <c r="AH52" s="14"/>
      <c r="AI52" s="14"/>
      <c r="AJ52" s="14"/>
    </row>
    <row r="53" spans="1:36" s="4" customFormat="1" ht="25.5" customHeight="1" x14ac:dyDescent="0.3">
      <c r="A53" s="28" t="s">
        <v>14</v>
      </c>
      <c r="B53" s="24">
        <f t="shared" si="26"/>
        <v>0</v>
      </c>
      <c r="C53" s="24">
        <f t="shared" si="27"/>
        <v>0</v>
      </c>
      <c r="D53" s="24">
        <f t="shared" si="28"/>
        <v>0</v>
      </c>
      <c r="E53" s="24">
        <f t="shared" si="5"/>
        <v>0</v>
      </c>
      <c r="F53" s="24">
        <v>0</v>
      </c>
      <c r="G53" s="24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v>0</v>
      </c>
      <c r="O53" s="27">
        <v>0</v>
      </c>
      <c r="P53" s="27">
        <v>0</v>
      </c>
      <c r="Q53" s="27">
        <v>0</v>
      </c>
      <c r="R53" s="27">
        <v>0</v>
      </c>
      <c r="S53" s="27">
        <v>0</v>
      </c>
      <c r="T53" s="27">
        <v>0</v>
      </c>
      <c r="U53" s="27">
        <v>0</v>
      </c>
      <c r="V53" s="27">
        <v>0</v>
      </c>
      <c r="W53" s="27">
        <v>0</v>
      </c>
      <c r="X53" s="27">
        <v>0</v>
      </c>
      <c r="Y53" s="27">
        <v>0</v>
      </c>
      <c r="Z53" s="27">
        <v>0</v>
      </c>
      <c r="AA53" s="27">
        <v>0</v>
      </c>
      <c r="AB53" s="27">
        <v>0</v>
      </c>
      <c r="AC53" s="27">
        <v>0</v>
      </c>
      <c r="AD53" s="27">
        <v>0</v>
      </c>
      <c r="AE53" s="27">
        <v>0</v>
      </c>
      <c r="AF53" s="109"/>
      <c r="AG53" s="22"/>
      <c r="AH53" s="14"/>
      <c r="AI53" s="14"/>
      <c r="AJ53" s="14"/>
    </row>
    <row r="54" spans="1:36" s="4" customFormat="1" ht="39.75" customHeight="1" x14ac:dyDescent="0.3">
      <c r="A54" s="28" t="s">
        <v>26</v>
      </c>
      <c r="B54" s="24">
        <f>H54+J54+L54+N54+P54+R54+T54+V54+X54+Z54+AB54+AD54</f>
        <v>10365.306140000001</v>
      </c>
      <c r="C54" s="24">
        <f>H54+J54+L54+N54+P54+R54+T54+V54+X54+Z54+AB54+AD54</f>
        <v>10365.306140000001</v>
      </c>
      <c r="D54" s="24">
        <f>E54</f>
        <v>10365.299999999999</v>
      </c>
      <c r="E54" s="24">
        <f>I54+K54+M54+O54+Q54+S54+U54+W54+Y54+AA54+AC54+AE54</f>
        <v>10365.299999999999</v>
      </c>
      <c r="F54" s="24">
        <f t="shared" si="1"/>
        <v>99.999940763929999</v>
      </c>
      <c r="G54" s="24">
        <f t="shared" si="2"/>
        <v>99.999940763929999</v>
      </c>
      <c r="H54" s="72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7">
        <v>0</v>
      </c>
      <c r="O54" s="27">
        <v>0</v>
      </c>
      <c r="P54" s="27">
        <v>0</v>
      </c>
      <c r="Q54" s="27">
        <v>0</v>
      </c>
      <c r="R54" s="27">
        <f>(2407182.14+7958124)/1000</f>
        <v>10365.306140000001</v>
      </c>
      <c r="S54" s="27">
        <v>2407.1799999999998</v>
      </c>
      <c r="T54" s="27">
        <v>0</v>
      </c>
      <c r="U54" s="27">
        <v>0</v>
      </c>
      <c r="V54" s="27">
        <v>0</v>
      </c>
      <c r="W54" s="27">
        <v>0</v>
      </c>
      <c r="X54" s="27">
        <v>0</v>
      </c>
      <c r="Y54" s="27">
        <v>0</v>
      </c>
      <c r="Z54" s="27">
        <v>0</v>
      </c>
      <c r="AA54" s="27">
        <v>0</v>
      </c>
      <c r="AB54" s="27">
        <v>0</v>
      </c>
      <c r="AC54" s="27">
        <v>0</v>
      </c>
      <c r="AD54" s="27">
        <v>0</v>
      </c>
      <c r="AE54" s="27">
        <v>7958.12</v>
      </c>
      <c r="AF54" s="110"/>
      <c r="AG54" s="22"/>
      <c r="AH54" s="14"/>
      <c r="AI54" s="14"/>
      <c r="AJ54" s="14"/>
    </row>
    <row r="55" spans="1:36" s="4" customFormat="1" ht="73.5" customHeight="1" x14ac:dyDescent="0.3">
      <c r="A55" s="28" t="s">
        <v>49</v>
      </c>
      <c r="B55" s="24"/>
      <c r="C55" s="23"/>
      <c r="D55" s="23"/>
      <c r="E55" s="23"/>
      <c r="F55" s="23"/>
      <c r="G55" s="23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50"/>
      <c r="AF55" s="101" t="s">
        <v>63</v>
      </c>
      <c r="AG55" s="22"/>
      <c r="AH55" s="14"/>
      <c r="AI55" s="14"/>
      <c r="AJ55" s="14"/>
    </row>
    <row r="56" spans="1:36" s="4" customFormat="1" ht="27" customHeight="1" x14ac:dyDescent="0.3">
      <c r="A56" s="25" t="s">
        <v>15</v>
      </c>
      <c r="B56" s="23">
        <f>B57+B58+B59+B60</f>
        <v>7000</v>
      </c>
      <c r="C56" s="23">
        <f>C57+C58+C59+C60</f>
        <v>7000</v>
      </c>
      <c r="D56" s="23">
        <f t="shared" ref="D56" si="29">D57+D58+D59+D60</f>
        <v>7000</v>
      </c>
      <c r="E56" s="23">
        <f>E57+E58+E59+E60</f>
        <v>7000</v>
      </c>
      <c r="F56" s="23">
        <f t="shared" si="1"/>
        <v>100</v>
      </c>
      <c r="G56" s="23">
        <f t="shared" si="2"/>
        <v>100</v>
      </c>
      <c r="H56" s="21">
        <f>H57+H58+H59+H60</f>
        <v>0</v>
      </c>
      <c r="I56" s="21">
        <f t="shared" ref="I56:AE56" si="30">I57+I58+I59+I60</f>
        <v>0</v>
      </c>
      <c r="J56" s="21">
        <f t="shared" si="30"/>
        <v>0</v>
      </c>
      <c r="K56" s="21">
        <f t="shared" si="30"/>
        <v>0</v>
      </c>
      <c r="L56" s="21">
        <f t="shared" si="30"/>
        <v>0</v>
      </c>
      <c r="M56" s="21">
        <f t="shared" si="30"/>
        <v>0</v>
      </c>
      <c r="N56" s="21">
        <f t="shared" si="30"/>
        <v>3500</v>
      </c>
      <c r="O56" s="21">
        <f t="shared" si="30"/>
        <v>3500</v>
      </c>
      <c r="P56" s="21">
        <f t="shared" si="30"/>
        <v>0</v>
      </c>
      <c r="Q56" s="21">
        <f t="shared" si="30"/>
        <v>0</v>
      </c>
      <c r="R56" s="21">
        <f t="shared" si="30"/>
        <v>0</v>
      </c>
      <c r="S56" s="21">
        <f t="shared" si="30"/>
        <v>0</v>
      </c>
      <c r="T56" s="21">
        <f t="shared" si="30"/>
        <v>0</v>
      </c>
      <c r="U56" s="21">
        <f t="shared" si="30"/>
        <v>0</v>
      </c>
      <c r="V56" s="21">
        <f t="shared" si="30"/>
        <v>0</v>
      </c>
      <c r="W56" s="21">
        <f t="shared" si="30"/>
        <v>0</v>
      </c>
      <c r="X56" s="21">
        <f t="shared" si="30"/>
        <v>0</v>
      </c>
      <c r="Y56" s="21">
        <f t="shared" si="30"/>
        <v>0</v>
      </c>
      <c r="Z56" s="21">
        <f t="shared" si="30"/>
        <v>0</v>
      </c>
      <c r="AA56" s="21">
        <f t="shared" si="30"/>
        <v>0</v>
      </c>
      <c r="AB56" s="21">
        <f t="shared" si="30"/>
        <v>3500</v>
      </c>
      <c r="AC56" s="21">
        <f t="shared" si="30"/>
        <v>3500</v>
      </c>
      <c r="AD56" s="21">
        <f t="shared" si="30"/>
        <v>0</v>
      </c>
      <c r="AE56" s="21">
        <f t="shared" si="30"/>
        <v>0</v>
      </c>
      <c r="AF56" s="102"/>
      <c r="AG56" s="22"/>
      <c r="AH56" s="14"/>
      <c r="AI56" s="14"/>
      <c r="AJ56" s="14"/>
    </row>
    <row r="57" spans="1:36" s="4" customFormat="1" ht="25.5" customHeight="1" x14ac:dyDescent="0.3">
      <c r="A57" s="28" t="s">
        <v>34</v>
      </c>
      <c r="B57" s="24">
        <f>H57+J57+L57+N57+P57+R57+T57+V57+X57+Z57+AB57+AD57</f>
        <v>0</v>
      </c>
      <c r="C57" s="24">
        <f>H57</f>
        <v>0</v>
      </c>
      <c r="D57" s="24">
        <f>E57</f>
        <v>0</v>
      </c>
      <c r="E57" s="24">
        <f>I57+K57+M57+O57+Q57+S57+U57+W57+Y57+AA57+AC57+AE57</f>
        <v>0</v>
      </c>
      <c r="F57" s="24">
        <v>0</v>
      </c>
      <c r="G57" s="24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v>0</v>
      </c>
      <c r="O57" s="27">
        <v>0</v>
      </c>
      <c r="P57" s="27">
        <v>0</v>
      </c>
      <c r="Q57" s="27">
        <v>0</v>
      </c>
      <c r="R57" s="27">
        <v>0</v>
      </c>
      <c r="S57" s="27">
        <v>0</v>
      </c>
      <c r="T57" s="27">
        <v>0</v>
      </c>
      <c r="U57" s="27">
        <v>0</v>
      </c>
      <c r="V57" s="27">
        <v>0</v>
      </c>
      <c r="W57" s="27">
        <v>0</v>
      </c>
      <c r="X57" s="27">
        <v>0</v>
      </c>
      <c r="Y57" s="27">
        <v>0</v>
      </c>
      <c r="Z57" s="27">
        <v>0</v>
      </c>
      <c r="AA57" s="27">
        <v>0</v>
      </c>
      <c r="AB57" s="27">
        <v>0</v>
      </c>
      <c r="AC57" s="27">
        <v>0</v>
      </c>
      <c r="AD57" s="27">
        <v>0</v>
      </c>
      <c r="AE57" s="84">
        <v>0</v>
      </c>
      <c r="AF57" s="102"/>
      <c r="AG57" s="22"/>
      <c r="AH57" s="14"/>
      <c r="AI57" s="14"/>
      <c r="AJ57" s="14"/>
    </row>
    <row r="58" spans="1:36" s="4" customFormat="1" ht="25.5" customHeight="1" x14ac:dyDescent="0.3">
      <c r="A58" s="28" t="s">
        <v>13</v>
      </c>
      <c r="B58" s="24">
        <f t="shared" ref="B58:B59" si="31">H58+J58+L58+N58+P58+R58+T58+V58+X58+Z58+AB58+AD58</f>
        <v>0</v>
      </c>
      <c r="C58" s="24">
        <f t="shared" ref="C58:C59" si="32">H58</f>
        <v>0</v>
      </c>
      <c r="D58" s="24">
        <f t="shared" ref="D58:D60" si="33">E58</f>
        <v>0</v>
      </c>
      <c r="E58" s="24">
        <f t="shared" ref="E58:E60" si="34">I58+K58+M58+O58+Q58+S58+U58+W58+Y58+AA58+AC58+AE58</f>
        <v>0</v>
      </c>
      <c r="F58" s="24">
        <v>0</v>
      </c>
      <c r="G58" s="24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7">
        <v>0</v>
      </c>
      <c r="P58" s="27">
        <v>0</v>
      </c>
      <c r="Q58" s="27">
        <v>0</v>
      </c>
      <c r="R58" s="27">
        <v>0</v>
      </c>
      <c r="S58" s="27">
        <v>0</v>
      </c>
      <c r="T58" s="27">
        <v>0</v>
      </c>
      <c r="U58" s="27">
        <v>0</v>
      </c>
      <c r="V58" s="27">
        <v>0</v>
      </c>
      <c r="W58" s="27">
        <v>0</v>
      </c>
      <c r="X58" s="27">
        <v>0</v>
      </c>
      <c r="Y58" s="27">
        <v>0</v>
      </c>
      <c r="Z58" s="27">
        <v>0</v>
      </c>
      <c r="AA58" s="27">
        <v>0</v>
      </c>
      <c r="AB58" s="27">
        <v>0</v>
      </c>
      <c r="AC58" s="27">
        <v>0</v>
      </c>
      <c r="AD58" s="27">
        <v>0</v>
      </c>
      <c r="AE58" s="84">
        <v>0</v>
      </c>
      <c r="AF58" s="102"/>
      <c r="AG58" s="22"/>
      <c r="AH58" s="14"/>
      <c r="AI58" s="14"/>
      <c r="AJ58" s="14"/>
    </row>
    <row r="59" spans="1:36" s="4" customFormat="1" ht="25.5" customHeight="1" x14ac:dyDescent="0.3">
      <c r="A59" s="28" t="s">
        <v>14</v>
      </c>
      <c r="B59" s="24">
        <f t="shared" si="31"/>
        <v>0</v>
      </c>
      <c r="C59" s="24">
        <f t="shared" si="32"/>
        <v>0</v>
      </c>
      <c r="D59" s="24">
        <f t="shared" si="33"/>
        <v>0</v>
      </c>
      <c r="E59" s="24">
        <f t="shared" si="34"/>
        <v>0</v>
      </c>
      <c r="F59" s="24">
        <v>0</v>
      </c>
      <c r="G59" s="24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7">
        <v>0</v>
      </c>
      <c r="P59" s="27">
        <v>0</v>
      </c>
      <c r="Q59" s="27">
        <v>0</v>
      </c>
      <c r="R59" s="27">
        <v>0</v>
      </c>
      <c r="S59" s="27">
        <v>0</v>
      </c>
      <c r="T59" s="27">
        <v>0</v>
      </c>
      <c r="U59" s="27">
        <v>0</v>
      </c>
      <c r="V59" s="27">
        <v>0</v>
      </c>
      <c r="W59" s="27">
        <v>0</v>
      </c>
      <c r="X59" s="27">
        <v>0</v>
      </c>
      <c r="Y59" s="27">
        <v>0</v>
      </c>
      <c r="Z59" s="27">
        <v>0</v>
      </c>
      <c r="AA59" s="27">
        <v>0</v>
      </c>
      <c r="AB59" s="27">
        <v>0</v>
      </c>
      <c r="AC59" s="27">
        <v>0</v>
      </c>
      <c r="AD59" s="27">
        <v>0</v>
      </c>
      <c r="AE59" s="84">
        <v>0</v>
      </c>
      <c r="AF59" s="102"/>
      <c r="AG59" s="22"/>
      <c r="AH59" s="14"/>
      <c r="AI59" s="14"/>
      <c r="AJ59" s="14"/>
    </row>
    <row r="60" spans="1:36" s="4" customFormat="1" ht="25.5" customHeight="1" x14ac:dyDescent="0.3">
      <c r="A60" s="28" t="s">
        <v>26</v>
      </c>
      <c r="B60" s="24">
        <f>H60+J60+L60+N60+P60+R60+T60+V60+X60+Z60+AB60+AD60</f>
        <v>7000</v>
      </c>
      <c r="C60" s="24">
        <f>H60+J60+L60+N60+P60+R60+T60+V60+X60+Z60+AB60+AD60</f>
        <v>7000</v>
      </c>
      <c r="D60" s="24">
        <f t="shared" si="33"/>
        <v>7000</v>
      </c>
      <c r="E60" s="24">
        <f t="shared" si="34"/>
        <v>7000</v>
      </c>
      <c r="F60" s="24">
        <f t="shared" si="1"/>
        <v>100</v>
      </c>
      <c r="G60" s="24">
        <f t="shared" si="2"/>
        <v>100</v>
      </c>
      <c r="H60" s="27">
        <v>0</v>
      </c>
      <c r="I60" s="27">
        <v>0</v>
      </c>
      <c r="J60" s="27">
        <v>0</v>
      </c>
      <c r="K60" s="27">
        <v>0</v>
      </c>
      <c r="L60" s="27">
        <v>0</v>
      </c>
      <c r="M60" s="27">
        <v>0</v>
      </c>
      <c r="N60" s="27">
        <v>3500</v>
      </c>
      <c r="O60" s="27">
        <v>3500</v>
      </c>
      <c r="P60" s="27">
        <v>0</v>
      </c>
      <c r="Q60" s="27">
        <v>0</v>
      </c>
      <c r="R60" s="27">
        <v>0</v>
      </c>
      <c r="S60" s="27">
        <v>0</v>
      </c>
      <c r="T60" s="27">
        <v>0</v>
      </c>
      <c r="U60" s="27">
        <v>0</v>
      </c>
      <c r="V60" s="27">
        <v>0</v>
      </c>
      <c r="W60" s="27">
        <v>0</v>
      </c>
      <c r="X60" s="27">
        <v>0</v>
      </c>
      <c r="Y60" s="27">
        <v>0</v>
      </c>
      <c r="Z60" s="27">
        <v>0</v>
      </c>
      <c r="AA60" s="27">
        <v>0</v>
      </c>
      <c r="AB60" s="27">
        <v>3500</v>
      </c>
      <c r="AC60" s="27">
        <v>3500</v>
      </c>
      <c r="AD60" s="27">
        <v>0</v>
      </c>
      <c r="AE60" s="84">
        <v>0</v>
      </c>
      <c r="AF60" s="103"/>
      <c r="AG60" s="22"/>
      <c r="AH60" s="14"/>
      <c r="AI60" s="14"/>
      <c r="AJ60" s="14"/>
    </row>
    <row r="61" spans="1:36" s="4" customFormat="1" ht="25.5" customHeight="1" x14ac:dyDescent="0.3">
      <c r="A61" s="28" t="s">
        <v>57</v>
      </c>
      <c r="B61" s="24"/>
      <c r="C61" s="24"/>
      <c r="D61" s="24"/>
      <c r="E61" s="24"/>
      <c r="F61" s="24"/>
      <c r="G61" s="24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50"/>
      <c r="AF61" s="67"/>
      <c r="AG61" s="22"/>
      <c r="AH61" s="14"/>
      <c r="AI61" s="14"/>
      <c r="AJ61" s="14"/>
    </row>
    <row r="62" spans="1:36" s="4" customFormat="1" ht="25.5" customHeight="1" x14ac:dyDescent="0.3">
      <c r="A62" s="25" t="s">
        <v>15</v>
      </c>
      <c r="B62" s="23">
        <f>B63+B64+B65</f>
        <v>3500</v>
      </c>
      <c r="C62" s="23">
        <f>C63+C64+C65</f>
        <v>3500</v>
      </c>
      <c r="D62" s="23">
        <f t="shared" ref="D62:D64" si="35">E62</f>
        <v>3500</v>
      </c>
      <c r="E62" s="23">
        <f>E63+E64+E65</f>
        <v>3500</v>
      </c>
      <c r="F62" s="23">
        <f t="shared" si="1"/>
        <v>100</v>
      </c>
      <c r="G62" s="23">
        <f t="shared" si="2"/>
        <v>100</v>
      </c>
      <c r="H62" s="21">
        <f>H63+H64+H65</f>
        <v>0</v>
      </c>
      <c r="I62" s="21">
        <f t="shared" ref="I62:AE62" si="36">I63+I64+I65</f>
        <v>0</v>
      </c>
      <c r="J62" s="21">
        <f t="shared" si="36"/>
        <v>0</v>
      </c>
      <c r="K62" s="21">
        <f t="shared" si="36"/>
        <v>0</v>
      </c>
      <c r="L62" s="21">
        <f t="shared" si="36"/>
        <v>0</v>
      </c>
      <c r="M62" s="21">
        <f t="shared" si="36"/>
        <v>0</v>
      </c>
      <c r="N62" s="21">
        <f t="shared" si="36"/>
        <v>0</v>
      </c>
      <c r="O62" s="21">
        <f t="shared" si="36"/>
        <v>0</v>
      </c>
      <c r="P62" s="21">
        <f t="shared" si="36"/>
        <v>0</v>
      </c>
      <c r="Q62" s="21">
        <f t="shared" si="36"/>
        <v>0</v>
      </c>
      <c r="R62" s="21">
        <f t="shared" si="36"/>
        <v>0</v>
      </c>
      <c r="S62" s="21">
        <f t="shared" si="36"/>
        <v>0</v>
      </c>
      <c r="T62" s="21">
        <f t="shared" si="36"/>
        <v>0</v>
      </c>
      <c r="U62" s="21">
        <f t="shared" si="36"/>
        <v>0</v>
      </c>
      <c r="V62" s="21">
        <f t="shared" si="36"/>
        <v>3500</v>
      </c>
      <c r="W62" s="21">
        <f t="shared" si="36"/>
        <v>3500</v>
      </c>
      <c r="X62" s="21">
        <f t="shared" si="36"/>
        <v>0</v>
      </c>
      <c r="Y62" s="21">
        <f t="shared" si="36"/>
        <v>0</v>
      </c>
      <c r="Z62" s="21">
        <f t="shared" si="36"/>
        <v>0</v>
      </c>
      <c r="AA62" s="21">
        <f t="shared" si="36"/>
        <v>0</v>
      </c>
      <c r="AB62" s="21">
        <f t="shared" si="36"/>
        <v>0</v>
      </c>
      <c r="AC62" s="21">
        <f t="shared" si="36"/>
        <v>0</v>
      </c>
      <c r="AD62" s="21">
        <f t="shared" si="36"/>
        <v>0</v>
      </c>
      <c r="AE62" s="21">
        <f t="shared" si="36"/>
        <v>0</v>
      </c>
      <c r="AF62" s="67"/>
      <c r="AG62" s="22"/>
      <c r="AH62" s="14"/>
      <c r="AI62" s="14"/>
      <c r="AJ62" s="14"/>
    </row>
    <row r="63" spans="1:36" s="4" customFormat="1" ht="25.5" customHeight="1" x14ac:dyDescent="0.3">
      <c r="A63" s="28" t="s">
        <v>34</v>
      </c>
      <c r="B63" s="24">
        <f t="shared" ref="B63:B64" si="37">H63+J63+L63+N63+P63+R63+T63+V63+X63+Z63+AB63+AD63</f>
        <v>0</v>
      </c>
      <c r="C63" s="24">
        <f t="shared" ref="C63:C64" si="38">H63+J63+L63+N63+P63</f>
        <v>0</v>
      </c>
      <c r="D63" s="24">
        <f t="shared" si="35"/>
        <v>0</v>
      </c>
      <c r="E63" s="24">
        <f t="shared" ref="E63:E64" si="39">I63+K63+M63+O63+Q63+S63+U63+W63+Y63+AA63+AC63+AE63</f>
        <v>0</v>
      </c>
      <c r="F63" s="24">
        <v>0</v>
      </c>
      <c r="G63" s="24">
        <v>0</v>
      </c>
      <c r="H63" s="27">
        <v>0</v>
      </c>
      <c r="I63" s="27">
        <v>0</v>
      </c>
      <c r="J63" s="27">
        <v>0</v>
      </c>
      <c r="K63" s="27">
        <v>0</v>
      </c>
      <c r="L63" s="27">
        <v>0</v>
      </c>
      <c r="M63" s="27">
        <v>0</v>
      </c>
      <c r="N63" s="27">
        <v>0</v>
      </c>
      <c r="O63" s="27">
        <v>0</v>
      </c>
      <c r="P63" s="27">
        <v>0</v>
      </c>
      <c r="Q63" s="27">
        <v>0</v>
      </c>
      <c r="R63" s="27">
        <v>0</v>
      </c>
      <c r="S63" s="27">
        <v>0</v>
      </c>
      <c r="T63" s="27">
        <v>0</v>
      </c>
      <c r="U63" s="27">
        <v>0</v>
      </c>
      <c r="V63" s="27">
        <v>0</v>
      </c>
      <c r="W63" s="27">
        <v>0</v>
      </c>
      <c r="X63" s="27">
        <v>0</v>
      </c>
      <c r="Y63" s="27">
        <v>0</v>
      </c>
      <c r="Z63" s="27">
        <v>0</v>
      </c>
      <c r="AA63" s="27">
        <v>0</v>
      </c>
      <c r="AB63" s="27">
        <v>0</v>
      </c>
      <c r="AC63" s="27">
        <v>0</v>
      </c>
      <c r="AD63" s="27">
        <v>0</v>
      </c>
      <c r="AE63" s="27">
        <v>0</v>
      </c>
      <c r="AF63" s="67"/>
      <c r="AG63" s="22"/>
      <c r="AH63" s="14"/>
      <c r="AI63" s="14"/>
      <c r="AJ63" s="14"/>
    </row>
    <row r="64" spans="1:36" s="4" customFormat="1" ht="25.5" customHeight="1" x14ac:dyDescent="0.3">
      <c r="A64" s="28" t="s">
        <v>13</v>
      </c>
      <c r="B64" s="24">
        <f t="shared" si="37"/>
        <v>0</v>
      </c>
      <c r="C64" s="24">
        <f t="shared" si="38"/>
        <v>0</v>
      </c>
      <c r="D64" s="24">
        <f t="shared" si="35"/>
        <v>0</v>
      </c>
      <c r="E64" s="24">
        <f t="shared" si="39"/>
        <v>0</v>
      </c>
      <c r="F64" s="24">
        <v>0</v>
      </c>
      <c r="G64" s="24">
        <v>0</v>
      </c>
      <c r="H64" s="27">
        <v>0</v>
      </c>
      <c r="I64" s="27">
        <v>0</v>
      </c>
      <c r="J64" s="27">
        <v>0</v>
      </c>
      <c r="K64" s="27">
        <v>0</v>
      </c>
      <c r="L64" s="27">
        <v>0</v>
      </c>
      <c r="M64" s="27">
        <v>0</v>
      </c>
      <c r="N64" s="27">
        <v>0</v>
      </c>
      <c r="O64" s="27">
        <v>0</v>
      </c>
      <c r="P64" s="27">
        <v>0</v>
      </c>
      <c r="Q64" s="27">
        <v>0</v>
      </c>
      <c r="R64" s="27">
        <v>0</v>
      </c>
      <c r="S64" s="27">
        <v>0</v>
      </c>
      <c r="T64" s="27">
        <v>0</v>
      </c>
      <c r="U64" s="27">
        <v>0</v>
      </c>
      <c r="V64" s="27">
        <v>0</v>
      </c>
      <c r="W64" s="27">
        <v>0</v>
      </c>
      <c r="X64" s="27">
        <v>0</v>
      </c>
      <c r="Y64" s="27">
        <v>0</v>
      </c>
      <c r="Z64" s="27">
        <v>0</v>
      </c>
      <c r="AA64" s="27">
        <v>0</v>
      </c>
      <c r="AB64" s="27">
        <v>0</v>
      </c>
      <c r="AC64" s="27">
        <v>0</v>
      </c>
      <c r="AD64" s="27">
        <v>0</v>
      </c>
      <c r="AE64" s="27">
        <v>0</v>
      </c>
      <c r="AF64" s="67"/>
      <c r="AG64" s="22"/>
      <c r="AH64" s="14"/>
      <c r="AI64" s="14"/>
      <c r="AJ64" s="14"/>
    </row>
    <row r="65" spans="1:43" s="4" customFormat="1" ht="74.25" customHeight="1" x14ac:dyDescent="0.2">
      <c r="A65" s="64" t="s">
        <v>14</v>
      </c>
      <c r="B65" s="24">
        <f>H65+J65+L65+N65+P65+R65+T65+V65+X65+Z65+AB65+AD65</f>
        <v>3500</v>
      </c>
      <c r="C65" s="24">
        <f>H65+J65+L65+N65+P65+R65+T65+V65+X65+Z65+AB65</f>
        <v>3500</v>
      </c>
      <c r="D65" s="24">
        <f>E65</f>
        <v>3500</v>
      </c>
      <c r="E65" s="24">
        <f>I65+K65+M65+O65+Q65+S65+U65+W65+Y65+AA65+AC65+AE65</f>
        <v>3500</v>
      </c>
      <c r="F65" s="24">
        <f t="shared" si="1"/>
        <v>100</v>
      </c>
      <c r="G65" s="24">
        <f t="shared" si="2"/>
        <v>100</v>
      </c>
      <c r="H65" s="27">
        <v>0</v>
      </c>
      <c r="I65" s="27">
        <v>0</v>
      </c>
      <c r="J65" s="27">
        <v>0</v>
      </c>
      <c r="K65" s="27">
        <v>0</v>
      </c>
      <c r="L65" s="27">
        <v>0</v>
      </c>
      <c r="M65" s="27">
        <v>0</v>
      </c>
      <c r="N65" s="27">
        <v>0</v>
      </c>
      <c r="O65" s="27">
        <v>0</v>
      </c>
      <c r="P65" s="27">
        <v>0</v>
      </c>
      <c r="Q65" s="27">
        <v>0</v>
      </c>
      <c r="R65" s="27">
        <v>0</v>
      </c>
      <c r="S65" s="27">
        <v>0</v>
      </c>
      <c r="T65" s="27">
        <v>0</v>
      </c>
      <c r="U65" s="27">
        <v>0</v>
      </c>
      <c r="V65" s="27">
        <v>3500</v>
      </c>
      <c r="W65" s="27">
        <v>3500</v>
      </c>
      <c r="X65" s="27">
        <v>0</v>
      </c>
      <c r="Y65" s="27">
        <v>0</v>
      </c>
      <c r="Z65" s="27">
        <v>0</v>
      </c>
      <c r="AA65" s="27">
        <v>0</v>
      </c>
      <c r="AB65" s="27">
        <v>0</v>
      </c>
      <c r="AC65" s="27">
        <v>0</v>
      </c>
      <c r="AD65" s="27">
        <v>0</v>
      </c>
      <c r="AE65" s="27">
        <v>0</v>
      </c>
      <c r="AF65" s="67" t="s">
        <v>62</v>
      </c>
      <c r="AG65" s="22"/>
      <c r="AH65" s="14"/>
      <c r="AI65" s="14"/>
      <c r="AJ65" s="14"/>
    </row>
    <row r="66" spans="1:43" s="4" customFormat="1" ht="63" customHeight="1" x14ac:dyDescent="0.3">
      <c r="A66" s="25" t="s">
        <v>22</v>
      </c>
      <c r="B66" s="23">
        <f>B69</f>
        <v>3894.2000000000003</v>
      </c>
      <c r="C66" s="23">
        <f t="shared" ref="C66:G66" si="40">C69</f>
        <v>3894.2000000000003</v>
      </c>
      <c r="D66" s="23">
        <f t="shared" si="40"/>
        <v>3877.0200000000004</v>
      </c>
      <c r="E66" s="23">
        <f t="shared" si="40"/>
        <v>3877.0200000000004</v>
      </c>
      <c r="F66" s="23">
        <f t="shared" si="40"/>
        <v>99.55883108212214</v>
      </c>
      <c r="G66" s="23">
        <f t="shared" si="40"/>
        <v>99.55883108212214</v>
      </c>
      <c r="H66" s="23">
        <f>H69</f>
        <v>504.4</v>
      </c>
      <c r="I66" s="23">
        <f t="shared" ref="I66:AE66" si="41">I69</f>
        <v>224.64</v>
      </c>
      <c r="J66" s="23">
        <f t="shared" si="41"/>
        <v>799.65</v>
      </c>
      <c r="K66" s="23">
        <f t="shared" si="41"/>
        <v>638.94000000000005</v>
      </c>
      <c r="L66" s="23">
        <f t="shared" si="41"/>
        <v>554.70000000000005</v>
      </c>
      <c r="M66" s="23">
        <f t="shared" si="41"/>
        <v>454.55</v>
      </c>
      <c r="N66" s="23">
        <f t="shared" si="41"/>
        <v>514.79999999999995</v>
      </c>
      <c r="O66" s="23">
        <f t="shared" si="41"/>
        <v>483.97</v>
      </c>
      <c r="P66" s="23">
        <f t="shared" si="41"/>
        <v>611.9</v>
      </c>
      <c r="Q66" s="23">
        <f t="shared" si="41"/>
        <v>384.67</v>
      </c>
      <c r="R66" s="23">
        <f t="shared" si="41"/>
        <v>8.5</v>
      </c>
      <c r="S66" s="23">
        <f t="shared" si="41"/>
        <v>108.4</v>
      </c>
      <c r="T66" s="23">
        <f t="shared" si="41"/>
        <v>0</v>
      </c>
      <c r="U66" s="23">
        <f t="shared" si="41"/>
        <v>9.4</v>
      </c>
      <c r="V66" s="23">
        <f t="shared" si="41"/>
        <v>0</v>
      </c>
      <c r="W66" s="23">
        <f t="shared" si="41"/>
        <v>0</v>
      </c>
      <c r="X66" s="23">
        <f t="shared" si="41"/>
        <v>371.75</v>
      </c>
      <c r="Y66" s="23">
        <f t="shared" si="41"/>
        <v>212.38</v>
      </c>
      <c r="Z66" s="23">
        <f t="shared" si="41"/>
        <v>247.2</v>
      </c>
      <c r="AA66" s="23">
        <f t="shared" si="41"/>
        <v>655.54</v>
      </c>
      <c r="AB66" s="23">
        <f>AB69</f>
        <v>281.3</v>
      </c>
      <c r="AC66" s="23">
        <f t="shared" si="41"/>
        <v>456.17</v>
      </c>
      <c r="AD66" s="23">
        <f t="shared" si="41"/>
        <v>0</v>
      </c>
      <c r="AE66" s="23">
        <f t="shared" si="41"/>
        <v>248.36</v>
      </c>
      <c r="AF66" s="47"/>
      <c r="AG66" s="22"/>
      <c r="AH66" s="14"/>
      <c r="AI66" s="14"/>
      <c r="AJ66" s="14"/>
    </row>
    <row r="67" spans="1:43" s="4" customFormat="1" ht="39.75" customHeight="1" x14ac:dyDescent="0.2">
      <c r="A67" s="126" t="s">
        <v>54</v>
      </c>
      <c r="B67" s="127"/>
      <c r="C67" s="127"/>
      <c r="D67" s="127"/>
      <c r="E67" s="127"/>
      <c r="F67" s="127"/>
      <c r="G67" s="127"/>
      <c r="H67" s="127"/>
      <c r="I67" s="127"/>
      <c r="J67" s="127"/>
      <c r="K67" s="127"/>
      <c r="L67" s="127"/>
      <c r="M67" s="128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90"/>
      <c r="AG67" s="22"/>
      <c r="AH67" s="14"/>
      <c r="AI67" s="14"/>
      <c r="AJ67" s="14"/>
    </row>
    <row r="68" spans="1:43" s="4" customFormat="1" ht="96" customHeight="1" x14ac:dyDescent="0.2">
      <c r="A68" s="53" t="s">
        <v>39</v>
      </c>
      <c r="B68" s="23"/>
      <c r="C68" s="23"/>
      <c r="D68" s="23"/>
      <c r="E68" s="23"/>
      <c r="F68" s="23"/>
      <c r="G68" s="23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50"/>
      <c r="AF68" s="101" t="s">
        <v>74</v>
      </c>
      <c r="AG68" s="22"/>
      <c r="AH68" s="14"/>
      <c r="AI68" s="14"/>
      <c r="AJ68" s="14"/>
    </row>
    <row r="69" spans="1:43" s="4" customFormat="1" ht="27.75" customHeight="1" x14ac:dyDescent="0.3">
      <c r="A69" s="71" t="s">
        <v>15</v>
      </c>
      <c r="B69" s="23">
        <f>B70+B71+B72</f>
        <v>3894.2000000000003</v>
      </c>
      <c r="C69" s="23">
        <f>C70+C71+C72</f>
        <v>3894.2000000000003</v>
      </c>
      <c r="D69" s="23">
        <f>D70+D71+D72</f>
        <v>3877.0200000000004</v>
      </c>
      <c r="E69" s="23">
        <f>E70+E71+E72</f>
        <v>3877.0200000000004</v>
      </c>
      <c r="F69" s="23">
        <f t="shared" si="1"/>
        <v>99.55883108212214</v>
      </c>
      <c r="G69" s="23">
        <f t="shared" si="2"/>
        <v>99.55883108212214</v>
      </c>
      <c r="H69" s="21">
        <f>H71+H72+H70</f>
        <v>504.4</v>
      </c>
      <c r="I69" s="21">
        <f>I71+I72+I70</f>
        <v>224.64</v>
      </c>
      <c r="J69" s="21">
        <f t="shared" ref="J69:AE69" si="42">J71+J72+J70</f>
        <v>799.65</v>
      </c>
      <c r="K69" s="21">
        <f t="shared" si="42"/>
        <v>638.94000000000005</v>
      </c>
      <c r="L69" s="21">
        <f t="shared" si="42"/>
        <v>554.70000000000005</v>
      </c>
      <c r="M69" s="21">
        <f t="shared" si="42"/>
        <v>454.55</v>
      </c>
      <c r="N69" s="21">
        <f t="shared" si="42"/>
        <v>514.79999999999995</v>
      </c>
      <c r="O69" s="21">
        <f t="shared" si="42"/>
        <v>483.97</v>
      </c>
      <c r="P69" s="21">
        <f t="shared" si="42"/>
        <v>611.9</v>
      </c>
      <c r="Q69" s="21">
        <f t="shared" si="42"/>
        <v>384.67</v>
      </c>
      <c r="R69" s="21">
        <f t="shared" si="42"/>
        <v>8.5</v>
      </c>
      <c r="S69" s="21">
        <f t="shared" si="42"/>
        <v>108.4</v>
      </c>
      <c r="T69" s="21">
        <f t="shared" si="42"/>
        <v>0</v>
      </c>
      <c r="U69" s="21">
        <f t="shared" si="42"/>
        <v>9.4</v>
      </c>
      <c r="V69" s="21">
        <f t="shared" si="42"/>
        <v>0</v>
      </c>
      <c r="W69" s="21">
        <f t="shared" si="42"/>
        <v>0</v>
      </c>
      <c r="X69" s="21">
        <f t="shared" si="42"/>
        <v>371.75</v>
      </c>
      <c r="Y69" s="21">
        <f t="shared" si="42"/>
        <v>212.38</v>
      </c>
      <c r="Z69" s="21">
        <f t="shared" si="42"/>
        <v>247.2</v>
      </c>
      <c r="AA69" s="21">
        <f t="shared" si="42"/>
        <v>655.54</v>
      </c>
      <c r="AB69" s="21">
        <f t="shared" si="42"/>
        <v>281.3</v>
      </c>
      <c r="AC69" s="21">
        <f t="shared" si="42"/>
        <v>456.17</v>
      </c>
      <c r="AD69" s="21">
        <f t="shared" si="42"/>
        <v>0</v>
      </c>
      <c r="AE69" s="21">
        <f t="shared" si="42"/>
        <v>248.36</v>
      </c>
      <c r="AF69" s="102"/>
      <c r="AG69" s="22"/>
      <c r="AH69" s="14"/>
      <c r="AI69" s="14"/>
      <c r="AJ69" s="14"/>
    </row>
    <row r="70" spans="1:43" s="4" customFormat="1" ht="27.75" customHeight="1" x14ac:dyDescent="0.3">
      <c r="A70" s="65" t="s">
        <v>34</v>
      </c>
      <c r="B70" s="24">
        <f t="shared" ref="B70:B71" si="43">H70+J70+L70+N70+P70+R70+T70+V70+X70+Z70+AB70+AD70</f>
        <v>0</v>
      </c>
      <c r="C70" s="24">
        <f>H70+J70</f>
        <v>0</v>
      </c>
      <c r="D70" s="24">
        <f t="shared" si="4"/>
        <v>0</v>
      </c>
      <c r="E70" s="24">
        <f t="shared" si="5"/>
        <v>0</v>
      </c>
      <c r="F70" s="24">
        <v>0</v>
      </c>
      <c r="G70" s="24">
        <v>0</v>
      </c>
      <c r="H70" s="27">
        <v>0</v>
      </c>
      <c r="I70" s="27">
        <v>0</v>
      </c>
      <c r="J70" s="27">
        <v>0</v>
      </c>
      <c r="K70" s="27">
        <v>0</v>
      </c>
      <c r="L70" s="27">
        <v>0</v>
      </c>
      <c r="M70" s="27">
        <v>0</v>
      </c>
      <c r="N70" s="27">
        <v>0</v>
      </c>
      <c r="O70" s="27">
        <v>0</v>
      </c>
      <c r="P70" s="27">
        <v>0</v>
      </c>
      <c r="Q70" s="27">
        <v>0</v>
      </c>
      <c r="R70" s="27">
        <v>0</v>
      </c>
      <c r="S70" s="27">
        <v>0</v>
      </c>
      <c r="T70" s="27">
        <v>0</v>
      </c>
      <c r="U70" s="27">
        <v>0</v>
      </c>
      <c r="V70" s="27">
        <v>0</v>
      </c>
      <c r="W70" s="27">
        <v>0</v>
      </c>
      <c r="X70" s="27">
        <v>0</v>
      </c>
      <c r="Y70" s="27">
        <v>0</v>
      </c>
      <c r="Z70" s="27">
        <v>0</v>
      </c>
      <c r="AA70" s="27">
        <v>0</v>
      </c>
      <c r="AB70" s="27">
        <v>0</v>
      </c>
      <c r="AC70" s="27">
        <v>0</v>
      </c>
      <c r="AD70" s="27">
        <v>0</v>
      </c>
      <c r="AE70" s="87">
        <v>0</v>
      </c>
      <c r="AF70" s="102"/>
      <c r="AG70" s="22"/>
      <c r="AH70" s="14"/>
      <c r="AI70" s="14"/>
      <c r="AJ70" s="14"/>
    </row>
    <row r="71" spans="1:43" s="4" customFormat="1" ht="24.75" customHeight="1" x14ac:dyDescent="0.3">
      <c r="A71" s="65" t="s">
        <v>13</v>
      </c>
      <c r="B71" s="24">
        <f t="shared" si="43"/>
        <v>0</v>
      </c>
      <c r="C71" s="24">
        <f t="shared" ref="C71" si="44">H71+J71</f>
        <v>0</v>
      </c>
      <c r="D71" s="24">
        <f t="shared" si="4"/>
        <v>0</v>
      </c>
      <c r="E71" s="24">
        <f t="shared" si="5"/>
        <v>0</v>
      </c>
      <c r="F71" s="24">
        <v>0</v>
      </c>
      <c r="G71" s="24">
        <v>0</v>
      </c>
      <c r="H71" s="27">
        <v>0</v>
      </c>
      <c r="I71" s="27">
        <v>0</v>
      </c>
      <c r="J71" s="27">
        <v>0</v>
      </c>
      <c r="K71" s="27">
        <v>0</v>
      </c>
      <c r="L71" s="27">
        <v>0</v>
      </c>
      <c r="M71" s="27">
        <v>0</v>
      </c>
      <c r="N71" s="27">
        <v>0</v>
      </c>
      <c r="O71" s="27">
        <v>0</v>
      </c>
      <c r="P71" s="27">
        <v>0</v>
      </c>
      <c r="Q71" s="27">
        <v>0</v>
      </c>
      <c r="R71" s="27">
        <v>0</v>
      </c>
      <c r="S71" s="27">
        <v>0</v>
      </c>
      <c r="T71" s="27">
        <v>0</v>
      </c>
      <c r="U71" s="27">
        <v>0</v>
      </c>
      <c r="V71" s="27">
        <v>0</v>
      </c>
      <c r="W71" s="27">
        <v>0</v>
      </c>
      <c r="X71" s="27">
        <v>0</v>
      </c>
      <c r="Y71" s="27">
        <v>0</v>
      </c>
      <c r="Z71" s="27">
        <v>0</v>
      </c>
      <c r="AA71" s="27">
        <v>0</v>
      </c>
      <c r="AB71" s="27">
        <v>0</v>
      </c>
      <c r="AC71" s="27">
        <v>0</v>
      </c>
      <c r="AD71" s="27">
        <v>0</v>
      </c>
      <c r="AE71" s="87">
        <v>0</v>
      </c>
      <c r="AF71" s="102"/>
      <c r="AG71" s="22"/>
      <c r="AH71" s="14"/>
      <c r="AI71" s="14"/>
      <c r="AJ71" s="14"/>
    </row>
    <row r="72" spans="1:43" s="4" customFormat="1" ht="204.75" customHeight="1" x14ac:dyDescent="0.2">
      <c r="A72" s="69" t="s">
        <v>14</v>
      </c>
      <c r="B72" s="24">
        <f>H72+J72+L72+N72+P72+R72+T72+V72+X72+Z72+AB72+AD72</f>
        <v>3894.2000000000003</v>
      </c>
      <c r="C72" s="24">
        <f>H72+J72+L72+N72+P72+R72+T72+V72+X72+Z72+AB72+AD72</f>
        <v>3894.2000000000003</v>
      </c>
      <c r="D72" s="24">
        <f>E72</f>
        <v>3877.0200000000004</v>
      </c>
      <c r="E72" s="24">
        <f>I72+K72+M72+O72+Q72+S72+U72+W72+Y72+AA72+AC72+AE72</f>
        <v>3877.0200000000004</v>
      </c>
      <c r="F72" s="24">
        <f t="shared" si="1"/>
        <v>99.55883108212214</v>
      </c>
      <c r="G72" s="24">
        <f t="shared" si="2"/>
        <v>99.55883108212214</v>
      </c>
      <c r="H72" s="27">
        <f>504400/1000</f>
        <v>504.4</v>
      </c>
      <c r="I72" s="27">
        <v>224.64</v>
      </c>
      <c r="J72" s="27">
        <f>799650/1000</f>
        <v>799.65</v>
      </c>
      <c r="K72" s="27">
        <v>638.94000000000005</v>
      </c>
      <c r="L72" s="27">
        <f>554700/1000</f>
        <v>554.70000000000005</v>
      </c>
      <c r="M72" s="27">
        <v>454.55</v>
      </c>
      <c r="N72" s="27">
        <f>514800/1000</f>
        <v>514.79999999999995</v>
      </c>
      <c r="O72" s="27">
        <v>483.97</v>
      </c>
      <c r="P72" s="27">
        <f>611900/1000</f>
        <v>611.9</v>
      </c>
      <c r="Q72" s="27">
        <v>384.67</v>
      </c>
      <c r="R72" s="27">
        <f>8500/1000</f>
        <v>8.5</v>
      </c>
      <c r="S72" s="27">
        <v>108.4</v>
      </c>
      <c r="T72" s="27">
        <v>0</v>
      </c>
      <c r="U72" s="27">
        <v>9.4</v>
      </c>
      <c r="V72" s="27">
        <v>0</v>
      </c>
      <c r="W72" s="27">
        <v>0</v>
      </c>
      <c r="X72" s="27">
        <f>371750/1000</f>
        <v>371.75</v>
      </c>
      <c r="Y72" s="27">
        <v>212.38</v>
      </c>
      <c r="Z72" s="27">
        <f>247200/1000</f>
        <v>247.2</v>
      </c>
      <c r="AA72" s="27">
        <v>655.54</v>
      </c>
      <c r="AB72" s="27">
        <f>281300/1000</f>
        <v>281.3</v>
      </c>
      <c r="AC72" s="27">
        <v>456.17</v>
      </c>
      <c r="AD72" s="27">
        <v>0</v>
      </c>
      <c r="AE72" s="87">
        <v>248.36</v>
      </c>
      <c r="AF72" s="103"/>
      <c r="AG72" s="22"/>
      <c r="AH72" s="14"/>
      <c r="AI72" s="14"/>
      <c r="AJ72" s="14"/>
    </row>
    <row r="73" spans="1:43" s="7" customFormat="1" ht="40.5" customHeight="1" x14ac:dyDescent="0.2">
      <c r="A73" s="62" t="s">
        <v>33</v>
      </c>
      <c r="B73" s="21">
        <f>B76</f>
        <v>7844.6010000000006</v>
      </c>
      <c r="C73" s="21">
        <f t="shared" ref="C73:AE73" si="45">C76</f>
        <v>7844.6010000000006</v>
      </c>
      <c r="D73" s="21">
        <f t="shared" si="45"/>
        <v>7758.9130000000005</v>
      </c>
      <c r="E73" s="21">
        <f t="shared" si="45"/>
        <v>7758.9130000000005</v>
      </c>
      <c r="F73" s="21">
        <f t="shared" si="45"/>
        <v>98.907681856604299</v>
      </c>
      <c r="G73" s="21">
        <f t="shared" si="45"/>
        <v>98.907681856604299</v>
      </c>
      <c r="H73" s="21">
        <f t="shared" si="45"/>
        <v>1517.576</v>
      </c>
      <c r="I73" s="21">
        <f t="shared" si="45"/>
        <v>1156.3460600000001</v>
      </c>
      <c r="J73" s="21">
        <f t="shared" si="45"/>
        <v>736.96500000000003</v>
      </c>
      <c r="K73" s="21">
        <f t="shared" si="45"/>
        <v>1011.2737499999999</v>
      </c>
      <c r="L73" s="21">
        <f t="shared" si="45"/>
        <v>379.81</v>
      </c>
      <c r="M73" s="21">
        <f t="shared" si="45"/>
        <v>368.24189000000001</v>
      </c>
      <c r="N73" s="21">
        <f t="shared" si="45"/>
        <v>586.13</v>
      </c>
      <c r="O73" s="21">
        <f t="shared" si="45"/>
        <v>622.39879000000008</v>
      </c>
      <c r="P73" s="21">
        <f t="shared" si="45"/>
        <v>604.61</v>
      </c>
      <c r="Q73" s="21">
        <f t="shared" si="45"/>
        <v>558.12764000000004</v>
      </c>
      <c r="R73" s="21">
        <f t="shared" si="45"/>
        <v>1160.0429999999999</v>
      </c>
      <c r="S73" s="21">
        <f t="shared" si="45"/>
        <v>1146.7558000000001</v>
      </c>
      <c r="T73" s="21">
        <f t="shared" si="45"/>
        <v>825.87699999999995</v>
      </c>
      <c r="U73" s="21">
        <f t="shared" si="45"/>
        <v>688.46180000000004</v>
      </c>
      <c r="V73" s="21">
        <f t="shared" si="45"/>
        <v>583.64</v>
      </c>
      <c r="W73" s="21">
        <f t="shared" si="45"/>
        <v>601.8623</v>
      </c>
      <c r="X73" s="21">
        <f t="shared" si="45"/>
        <v>217.83</v>
      </c>
      <c r="Y73" s="21">
        <f t="shared" si="45"/>
        <v>238.25609</v>
      </c>
      <c r="Z73" s="21">
        <f t="shared" si="45"/>
        <v>494.52</v>
      </c>
      <c r="AA73" s="21">
        <f t="shared" si="45"/>
        <v>453.25165999999996</v>
      </c>
      <c r="AB73" s="21">
        <f t="shared" si="45"/>
        <v>227.34</v>
      </c>
      <c r="AC73" s="21">
        <f t="shared" si="45"/>
        <v>325.40722</v>
      </c>
      <c r="AD73" s="21">
        <f t="shared" si="45"/>
        <v>510.26</v>
      </c>
      <c r="AE73" s="21">
        <f t="shared" si="45"/>
        <v>588.53</v>
      </c>
      <c r="AF73" s="47"/>
      <c r="AG73" s="30"/>
      <c r="AH73" s="14"/>
      <c r="AI73" s="14"/>
      <c r="AJ73" s="14"/>
    </row>
    <row r="74" spans="1:43" s="7" customFormat="1" ht="29.25" customHeight="1" x14ac:dyDescent="0.2">
      <c r="A74" s="123" t="s">
        <v>55</v>
      </c>
      <c r="B74" s="124"/>
      <c r="C74" s="124"/>
      <c r="D74" s="124"/>
      <c r="E74" s="124"/>
      <c r="F74" s="124"/>
      <c r="G74" s="124"/>
      <c r="H74" s="124"/>
      <c r="I74" s="124"/>
      <c r="J74" s="124"/>
      <c r="K74" s="124"/>
      <c r="L74" s="124"/>
      <c r="M74" s="125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47"/>
      <c r="AG74" s="30"/>
      <c r="AH74" s="14"/>
      <c r="AI74" s="14"/>
      <c r="AJ74" s="14"/>
    </row>
    <row r="75" spans="1:43" s="7" customFormat="1" ht="59.25" customHeight="1" x14ac:dyDescent="0.2">
      <c r="A75" s="53" t="s">
        <v>40</v>
      </c>
      <c r="B75" s="23"/>
      <c r="C75" s="23"/>
      <c r="D75" s="23"/>
      <c r="E75" s="23"/>
      <c r="F75" s="23"/>
      <c r="G75" s="23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50"/>
      <c r="AF75" s="47"/>
      <c r="AG75" s="30"/>
      <c r="AH75" s="14"/>
      <c r="AI75" s="14"/>
      <c r="AJ75" s="14"/>
    </row>
    <row r="76" spans="1:43" s="4" customFormat="1" ht="27" customHeight="1" x14ac:dyDescent="0.2">
      <c r="A76" s="68" t="s">
        <v>15</v>
      </c>
      <c r="B76" s="23">
        <f>B78+B79+B77</f>
        <v>7844.6010000000006</v>
      </c>
      <c r="C76" s="23">
        <f>C78+C79+C77</f>
        <v>7844.6010000000006</v>
      </c>
      <c r="D76" s="23">
        <f t="shared" ref="D76:E76" si="46">D78+D79+D77</f>
        <v>7758.9130000000005</v>
      </c>
      <c r="E76" s="23">
        <f t="shared" si="46"/>
        <v>7758.9130000000005</v>
      </c>
      <c r="F76" s="23">
        <f t="shared" si="1"/>
        <v>98.907681856604299</v>
      </c>
      <c r="G76" s="23">
        <f t="shared" si="2"/>
        <v>98.907681856604299</v>
      </c>
      <c r="H76" s="23">
        <f>H78+H79+H77</f>
        <v>1517.576</v>
      </c>
      <c r="I76" s="23">
        <f t="shared" ref="I76:AE76" si="47">I78+I79+I77</f>
        <v>1156.3460600000001</v>
      </c>
      <c r="J76" s="23">
        <f t="shared" si="47"/>
        <v>736.96500000000003</v>
      </c>
      <c r="K76" s="23">
        <f t="shared" si="47"/>
        <v>1011.2737499999999</v>
      </c>
      <c r="L76" s="23">
        <f t="shared" si="47"/>
        <v>379.81</v>
      </c>
      <c r="M76" s="23">
        <f t="shared" si="47"/>
        <v>368.24189000000001</v>
      </c>
      <c r="N76" s="23">
        <f t="shared" si="47"/>
        <v>586.13</v>
      </c>
      <c r="O76" s="23">
        <f t="shared" si="47"/>
        <v>622.39879000000008</v>
      </c>
      <c r="P76" s="23">
        <f t="shared" si="47"/>
        <v>604.61</v>
      </c>
      <c r="Q76" s="23">
        <f t="shared" si="47"/>
        <v>558.12764000000004</v>
      </c>
      <c r="R76" s="23">
        <f t="shared" si="47"/>
        <v>1160.0429999999999</v>
      </c>
      <c r="S76" s="23">
        <f t="shared" si="47"/>
        <v>1146.7558000000001</v>
      </c>
      <c r="T76" s="23">
        <f t="shared" si="47"/>
        <v>825.87699999999995</v>
      </c>
      <c r="U76" s="23">
        <f t="shared" si="47"/>
        <v>688.46180000000004</v>
      </c>
      <c r="V76" s="23">
        <f t="shared" si="47"/>
        <v>583.64</v>
      </c>
      <c r="W76" s="23">
        <f t="shared" si="47"/>
        <v>601.8623</v>
      </c>
      <c r="X76" s="23">
        <f t="shared" si="47"/>
        <v>217.83</v>
      </c>
      <c r="Y76" s="23">
        <f t="shared" si="47"/>
        <v>238.25609</v>
      </c>
      <c r="Z76" s="23">
        <f t="shared" si="47"/>
        <v>494.52</v>
      </c>
      <c r="AA76" s="23">
        <f t="shared" si="47"/>
        <v>453.25165999999996</v>
      </c>
      <c r="AB76" s="23">
        <f t="shared" si="47"/>
        <v>227.34</v>
      </c>
      <c r="AC76" s="23">
        <f t="shared" si="47"/>
        <v>325.40722</v>
      </c>
      <c r="AD76" s="23">
        <f t="shared" si="47"/>
        <v>510.26</v>
      </c>
      <c r="AE76" s="23">
        <f t="shared" si="47"/>
        <v>588.53</v>
      </c>
      <c r="AF76" s="101" t="s">
        <v>50</v>
      </c>
      <c r="AG76" s="22"/>
      <c r="AH76" s="14"/>
      <c r="AI76" s="14"/>
      <c r="AJ76" s="14"/>
    </row>
    <row r="77" spans="1:43" s="4" customFormat="1" ht="27" customHeight="1" x14ac:dyDescent="0.2">
      <c r="A77" s="69" t="s">
        <v>34</v>
      </c>
      <c r="B77" s="24">
        <f>H77+J77+L77+N77+P77+R77+T77+V77+X77+Z77+AB77+AD77</f>
        <v>0</v>
      </c>
      <c r="C77" s="24">
        <f>H77</f>
        <v>0</v>
      </c>
      <c r="D77" s="24">
        <f t="shared" si="4"/>
        <v>0</v>
      </c>
      <c r="E77" s="24">
        <f t="shared" si="5"/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  <c r="L77" s="24">
        <v>0</v>
      </c>
      <c r="M77" s="24">
        <v>0</v>
      </c>
      <c r="N77" s="24">
        <v>0</v>
      </c>
      <c r="O77" s="24">
        <v>0</v>
      </c>
      <c r="P77" s="24">
        <v>0</v>
      </c>
      <c r="Q77" s="24">
        <v>0</v>
      </c>
      <c r="R77" s="24">
        <v>0</v>
      </c>
      <c r="S77" s="24">
        <v>0</v>
      </c>
      <c r="T77" s="24">
        <v>0</v>
      </c>
      <c r="U77" s="24">
        <v>0</v>
      </c>
      <c r="V77" s="24">
        <v>0</v>
      </c>
      <c r="W77" s="24">
        <v>0</v>
      </c>
      <c r="X77" s="24">
        <v>0</v>
      </c>
      <c r="Y77" s="24">
        <v>0</v>
      </c>
      <c r="Z77" s="24">
        <v>0</v>
      </c>
      <c r="AA77" s="24">
        <v>0</v>
      </c>
      <c r="AB77" s="24">
        <v>0</v>
      </c>
      <c r="AC77" s="24">
        <v>0</v>
      </c>
      <c r="AD77" s="24">
        <v>0</v>
      </c>
      <c r="AE77" s="85">
        <v>0</v>
      </c>
      <c r="AF77" s="102"/>
      <c r="AG77" s="22"/>
      <c r="AH77" s="14"/>
      <c r="AI77" s="14"/>
      <c r="AJ77" s="14"/>
    </row>
    <row r="78" spans="1:43" s="4" customFormat="1" ht="25.5" customHeight="1" x14ac:dyDescent="0.3">
      <c r="A78" s="65" t="s">
        <v>13</v>
      </c>
      <c r="B78" s="24">
        <f t="shared" ref="B78" si="48">H78+J78+L78+N78+P78+R78+T78+V78+X78+Z78+AB78+AD78</f>
        <v>0</v>
      </c>
      <c r="C78" s="24">
        <f t="shared" si="19"/>
        <v>0</v>
      </c>
      <c r="D78" s="24">
        <f t="shared" si="4"/>
        <v>0</v>
      </c>
      <c r="E78" s="24">
        <f t="shared" si="5"/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  <c r="L78" s="24">
        <v>0</v>
      </c>
      <c r="M78" s="24">
        <v>0</v>
      </c>
      <c r="N78" s="24">
        <v>0</v>
      </c>
      <c r="O78" s="24">
        <v>0</v>
      </c>
      <c r="P78" s="24">
        <v>0</v>
      </c>
      <c r="Q78" s="24">
        <v>0</v>
      </c>
      <c r="R78" s="24">
        <v>0</v>
      </c>
      <c r="S78" s="24">
        <v>0</v>
      </c>
      <c r="T78" s="24">
        <v>0</v>
      </c>
      <c r="U78" s="24">
        <v>0</v>
      </c>
      <c r="V78" s="24">
        <v>0</v>
      </c>
      <c r="W78" s="24">
        <v>0</v>
      </c>
      <c r="X78" s="24">
        <v>0</v>
      </c>
      <c r="Y78" s="24">
        <v>0</v>
      </c>
      <c r="Z78" s="24">
        <v>0</v>
      </c>
      <c r="AA78" s="24">
        <v>0</v>
      </c>
      <c r="AB78" s="24">
        <v>0</v>
      </c>
      <c r="AC78" s="24">
        <v>0</v>
      </c>
      <c r="AD78" s="24">
        <v>0</v>
      </c>
      <c r="AE78" s="85">
        <v>0</v>
      </c>
      <c r="AF78" s="102"/>
      <c r="AG78" s="22"/>
      <c r="AH78" s="14"/>
      <c r="AI78" s="14"/>
      <c r="AJ78" s="14"/>
    </row>
    <row r="79" spans="1:43" s="4" customFormat="1" ht="25.5" customHeight="1" x14ac:dyDescent="0.3">
      <c r="A79" s="65" t="s">
        <v>14</v>
      </c>
      <c r="B79" s="24">
        <f>H79+J79+L79+N79+P79+R79+T79+V79+X79+Z79+AB79+AD79</f>
        <v>7844.6010000000006</v>
      </c>
      <c r="C79" s="24">
        <f>H79+J79+L79+N79+P79+R79+T79+V79+X79+Z79+AB79+AD79</f>
        <v>7844.6010000000006</v>
      </c>
      <c r="D79" s="24">
        <f>E79</f>
        <v>7758.9130000000005</v>
      </c>
      <c r="E79" s="24">
        <f>I79+K79+M79+O79+Q79+S79+U79+W79+Y79+AA79+AC79+AE79</f>
        <v>7758.9130000000005</v>
      </c>
      <c r="F79" s="24">
        <f t="shared" si="1"/>
        <v>98.907681856604299</v>
      </c>
      <c r="G79" s="24">
        <f t="shared" si="2"/>
        <v>98.907681856604299</v>
      </c>
      <c r="H79" s="24">
        <f>1517576/1000</f>
        <v>1517.576</v>
      </c>
      <c r="I79" s="24">
        <f>1156346.06/1000</f>
        <v>1156.3460600000001</v>
      </c>
      <c r="J79" s="24">
        <f>736965/1000</f>
        <v>736.96500000000003</v>
      </c>
      <c r="K79" s="24">
        <f>1011273.75/1000</f>
        <v>1011.2737499999999</v>
      </c>
      <c r="L79" s="24">
        <v>379.81</v>
      </c>
      <c r="M79" s="24">
        <f>368241.89/1000</f>
        <v>368.24189000000001</v>
      </c>
      <c r="N79" s="24">
        <v>586.13</v>
      </c>
      <c r="O79" s="24">
        <f>622398.79/1000</f>
        <v>622.39879000000008</v>
      </c>
      <c r="P79" s="24">
        <v>604.61</v>
      </c>
      <c r="Q79" s="24">
        <f>558127.64/1000</f>
        <v>558.12764000000004</v>
      </c>
      <c r="R79" s="24">
        <f>1160043/1000</f>
        <v>1160.0429999999999</v>
      </c>
      <c r="S79" s="24">
        <f>1146755.8/1000</f>
        <v>1146.7558000000001</v>
      </c>
      <c r="T79" s="24">
        <f>825877/1000</f>
        <v>825.87699999999995</v>
      </c>
      <c r="U79" s="24">
        <f>688461.8/1000</f>
        <v>688.46180000000004</v>
      </c>
      <c r="V79" s="24">
        <f>583640/1000</f>
        <v>583.64</v>
      </c>
      <c r="W79" s="24">
        <f>601862.3/1000</f>
        <v>601.8623</v>
      </c>
      <c r="X79" s="24">
        <v>217.83</v>
      </c>
      <c r="Y79" s="24">
        <f>238256.09/1000</f>
        <v>238.25609</v>
      </c>
      <c r="Z79" s="24">
        <v>494.52</v>
      </c>
      <c r="AA79" s="24">
        <f>453251.66/1000</f>
        <v>453.25165999999996</v>
      </c>
      <c r="AB79" s="24">
        <v>227.34</v>
      </c>
      <c r="AC79" s="24">
        <f>325407.22/1000</f>
        <v>325.40722</v>
      </c>
      <c r="AD79" s="24">
        <v>510.26</v>
      </c>
      <c r="AE79" s="85">
        <v>588.53</v>
      </c>
      <c r="AF79" s="103"/>
      <c r="AG79" s="22"/>
      <c r="AH79" s="14"/>
      <c r="AI79" s="14"/>
      <c r="AJ79" s="14"/>
    </row>
    <row r="80" spans="1:43" ht="26.25" customHeight="1" x14ac:dyDescent="0.2">
      <c r="A80" s="54" t="s">
        <v>16</v>
      </c>
      <c r="B80" s="39">
        <f>B81+B82+B83+B85</f>
        <v>269085.15714000002</v>
      </c>
      <c r="C80" s="39">
        <f>C81+C82+C83+C85</f>
        <v>269085.15714000002</v>
      </c>
      <c r="D80" s="39">
        <f>D81+D82+D83+D85</f>
        <v>257652.31099999996</v>
      </c>
      <c r="E80" s="39">
        <f t="shared" ref="E80" si="49">E81+E82+E83+E85</f>
        <v>257952.31099999996</v>
      </c>
      <c r="F80" s="39">
        <f t="shared" si="1"/>
        <v>95.862705227472716</v>
      </c>
      <c r="G80" s="39">
        <f t="shared" si="2"/>
        <v>95.862705227472716</v>
      </c>
      <c r="H80" s="39">
        <f>H81+H82+H83+H85</f>
        <v>17201.732</v>
      </c>
      <c r="I80" s="39">
        <f t="shared" ref="I80:AE80" si="50">I81+I82+I83+I85</f>
        <v>9930.8140599999988</v>
      </c>
      <c r="J80" s="39">
        <f t="shared" si="50"/>
        <v>20405.519000000004</v>
      </c>
      <c r="K80" s="39">
        <f t="shared" si="50"/>
        <v>19994.686750000001</v>
      </c>
      <c r="L80" s="39">
        <f t="shared" si="50"/>
        <v>17701.475590000002</v>
      </c>
      <c r="M80" s="39">
        <f t="shared" si="50"/>
        <v>16252.232889999997</v>
      </c>
      <c r="N80" s="39">
        <f t="shared" si="50"/>
        <v>32597.14</v>
      </c>
      <c r="O80" s="39">
        <f t="shared" si="50"/>
        <v>22451.751790000002</v>
      </c>
      <c r="P80" s="39">
        <f t="shared" si="50"/>
        <v>31026.933510000003</v>
      </c>
      <c r="Q80" s="39">
        <f t="shared" si="50"/>
        <v>26041.509639999997</v>
      </c>
      <c r="R80" s="39">
        <f>R81+R82+R83+R85</f>
        <v>36659.633140000005</v>
      </c>
      <c r="S80" s="39">
        <f t="shared" si="50"/>
        <v>28927.852800000001</v>
      </c>
      <c r="T80" s="39">
        <f t="shared" si="50"/>
        <v>18292.851900000001</v>
      </c>
      <c r="U80" s="39">
        <f t="shared" si="50"/>
        <v>21230.702800000003</v>
      </c>
      <c r="V80" s="39">
        <f t="shared" si="50"/>
        <v>19194.96819</v>
      </c>
      <c r="W80" s="39">
        <f t="shared" si="50"/>
        <v>15471.268300000002</v>
      </c>
      <c r="X80" s="39">
        <f t="shared" si="50"/>
        <v>16297.97306</v>
      </c>
      <c r="Y80" s="39">
        <f t="shared" si="50"/>
        <v>14543.714089999999</v>
      </c>
      <c r="Z80" s="39">
        <f t="shared" si="50"/>
        <v>18999.336130000003</v>
      </c>
      <c r="AA80" s="39">
        <f t="shared" si="50"/>
        <v>17948.739660000003</v>
      </c>
      <c r="AB80" s="39">
        <f t="shared" si="50"/>
        <v>21555.95681</v>
      </c>
      <c r="AC80" s="39">
        <f t="shared" si="50"/>
        <v>20574.018219999998</v>
      </c>
      <c r="AD80" s="39">
        <f>AD81+AD82+AD83+AD85</f>
        <v>19151.637809999997</v>
      </c>
      <c r="AE80" s="39">
        <f t="shared" si="50"/>
        <v>44585.020000000004</v>
      </c>
      <c r="AF80" s="48"/>
      <c r="AG80" s="31"/>
      <c r="AH80" s="8"/>
      <c r="AI80" s="8"/>
      <c r="AJ80" s="8"/>
      <c r="AK80" s="8"/>
      <c r="AL80" s="8"/>
      <c r="AM80" s="8"/>
      <c r="AN80" s="8"/>
      <c r="AO80" s="8"/>
      <c r="AP80" s="8"/>
      <c r="AQ80" s="9"/>
    </row>
    <row r="81" spans="1:43" ht="28.5" customHeight="1" x14ac:dyDescent="0.2">
      <c r="A81" s="64" t="s">
        <v>34</v>
      </c>
      <c r="B81" s="24">
        <f>H81+J81+L81+N81+P81+R81+T81+V81+X81+Z81+AB81+AD81</f>
        <v>0</v>
      </c>
      <c r="C81" s="24">
        <f>H81+J81+L81+N81+P81+R81+T81+V81+X81+Z81+AB81+AD81</f>
        <v>0</v>
      </c>
      <c r="D81" s="24">
        <f>E81</f>
        <v>0</v>
      </c>
      <c r="E81" s="24">
        <f>I81+K81+M81+O81+Q81+S81+U81+W81+Y81+AA81+AC81+AE81</f>
        <v>0</v>
      </c>
      <c r="F81" s="24">
        <v>0</v>
      </c>
      <c r="G81" s="24">
        <v>0</v>
      </c>
      <c r="H81" s="24">
        <f t="shared" ref="H81:AE81" si="51">H14+H19+H24+H32+H39+H44+H70+H77</f>
        <v>0</v>
      </c>
      <c r="I81" s="24">
        <f t="shared" si="51"/>
        <v>0</v>
      </c>
      <c r="J81" s="24">
        <f t="shared" si="51"/>
        <v>0</v>
      </c>
      <c r="K81" s="24">
        <f t="shared" si="51"/>
        <v>0</v>
      </c>
      <c r="L81" s="24">
        <f t="shared" si="51"/>
        <v>0</v>
      </c>
      <c r="M81" s="24">
        <f t="shared" si="51"/>
        <v>0</v>
      </c>
      <c r="N81" s="24">
        <f t="shared" si="51"/>
        <v>0</v>
      </c>
      <c r="O81" s="24">
        <f t="shared" si="51"/>
        <v>0</v>
      </c>
      <c r="P81" s="24">
        <f t="shared" si="51"/>
        <v>0</v>
      </c>
      <c r="Q81" s="24">
        <f t="shared" si="51"/>
        <v>0</v>
      </c>
      <c r="R81" s="24">
        <f t="shared" si="51"/>
        <v>0</v>
      </c>
      <c r="S81" s="24">
        <f t="shared" si="51"/>
        <v>0</v>
      </c>
      <c r="T81" s="24">
        <f t="shared" si="51"/>
        <v>0</v>
      </c>
      <c r="U81" s="24">
        <f t="shared" si="51"/>
        <v>0</v>
      </c>
      <c r="V81" s="24">
        <f t="shared" si="51"/>
        <v>0</v>
      </c>
      <c r="W81" s="24">
        <f t="shared" si="51"/>
        <v>0</v>
      </c>
      <c r="X81" s="24">
        <f t="shared" si="51"/>
        <v>0</v>
      </c>
      <c r="Y81" s="24">
        <f t="shared" si="51"/>
        <v>0</v>
      </c>
      <c r="Z81" s="24">
        <f t="shared" si="51"/>
        <v>0</v>
      </c>
      <c r="AA81" s="24">
        <f t="shared" si="51"/>
        <v>0</v>
      </c>
      <c r="AB81" s="24">
        <f t="shared" si="51"/>
        <v>0</v>
      </c>
      <c r="AC81" s="24">
        <f t="shared" si="51"/>
        <v>0</v>
      </c>
      <c r="AD81" s="24">
        <f t="shared" si="51"/>
        <v>0</v>
      </c>
      <c r="AE81" s="24">
        <f t="shared" si="51"/>
        <v>0</v>
      </c>
      <c r="AF81" s="48"/>
      <c r="AG81" s="31"/>
      <c r="AH81" s="8"/>
      <c r="AI81" s="8"/>
      <c r="AJ81" s="8"/>
      <c r="AK81" s="8"/>
      <c r="AL81" s="8"/>
      <c r="AM81" s="8"/>
      <c r="AN81" s="8"/>
      <c r="AO81" s="8"/>
      <c r="AP81" s="8"/>
      <c r="AQ81" s="9"/>
    </row>
    <row r="82" spans="1:43" ht="26.25" customHeight="1" x14ac:dyDescent="0.3">
      <c r="A82" s="65" t="s">
        <v>13</v>
      </c>
      <c r="B82" s="24">
        <f t="shared" ref="B82:B85" si="52">H82+J82+L82+N82+P82+R82+T82+V82+X82+Z82+AB82+AD82</f>
        <v>6455.4</v>
      </c>
      <c r="C82" s="24">
        <f t="shared" ref="C82:C85" si="53">H82+J82+L82+N82+P82+R82+T82+V82+X82+Z82+AB82+AD82</f>
        <v>6455.4</v>
      </c>
      <c r="D82" s="24">
        <v>6155.4</v>
      </c>
      <c r="E82" s="24">
        <f>I82+K82+M82+O82+Q82+S82+U82+W82+Y82+AA82+AC82+AE82</f>
        <v>6455.4</v>
      </c>
      <c r="F82" s="24">
        <f t="shared" si="1"/>
        <v>100</v>
      </c>
      <c r="G82" s="24">
        <f t="shared" si="2"/>
        <v>100</v>
      </c>
      <c r="H82" s="24">
        <f t="shared" ref="H82:AE82" si="54">H15+H20+H25+H33+H40+H45+H71+H78</f>
        <v>0</v>
      </c>
      <c r="I82" s="24">
        <f t="shared" si="54"/>
        <v>0</v>
      </c>
      <c r="J82" s="24">
        <f t="shared" si="54"/>
        <v>0</v>
      </c>
      <c r="K82" s="24">
        <f t="shared" si="54"/>
        <v>0</v>
      </c>
      <c r="L82" s="24">
        <f t="shared" si="54"/>
        <v>445.49</v>
      </c>
      <c r="M82" s="24">
        <f t="shared" si="54"/>
        <v>0</v>
      </c>
      <c r="N82" s="24">
        <f t="shared" si="54"/>
        <v>5000</v>
      </c>
      <c r="O82" s="24">
        <f t="shared" si="54"/>
        <v>0</v>
      </c>
      <c r="P82" s="24">
        <f t="shared" si="54"/>
        <v>400</v>
      </c>
      <c r="Q82" s="24">
        <f t="shared" si="54"/>
        <v>634.49</v>
      </c>
      <c r="R82" s="24">
        <f t="shared" si="54"/>
        <v>275.14999999999998</v>
      </c>
      <c r="S82" s="24">
        <f t="shared" si="54"/>
        <v>211</v>
      </c>
      <c r="T82" s="24">
        <f t="shared" si="54"/>
        <v>1.2</v>
      </c>
      <c r="U82" s="24">
        <f t="shared" si="54"/>
        <v>275.14999999999998</v>
      </c>
      <c r="V82" s="24">
        <f t="shared" si="54"/>
        <v>0</v>
      </c>
      <c r="W82" s="24">
        <f t="shared" si="54"/>
        <v>1.2</v>
      </c>
      <c r="X82" s="24">
        <f t="shared" si="54"/>
        <v>33.56</v>
      </c>
      <c r="Y82" s="24">
        <f t="shared" si="54"/>
        <v>33.56</v>
      </c>
      <c r="Z82" s="24">
        <f t="shared" si="54"/>
        <v>0</v>
      </c>
      <c r="AA82" s="24">
        <f t="shared" si="54"/>
        <v>0</v>
      </c>
      <c r="AB82" s="24">
        <f t="shared" si="54"/>
        <v>300</v>
      </c>
      <c r="AC82" s="24">
        <f t="shared" si="54"/>
        <v>0</v>
      </c>
      <c r="AD82" s="24">
        <f t="shared" si="54"/>
        <v>0</v>
      </c>
      <c r="AE82" s="24">
        <f t="shared" si="54"/>
        <v>5300</v>
      </c>
      <c r="AF82" s="48"/>
      <c r="AG82" s="31"/>
      <c r="AH82" s="8"/>
      <c r="AI82" s="8"/>
      <c r="AJ82" s="8"/>
      <c r="AK82" s="8"/>
      <c r="AL82" s="8"/>
      <c r="AM82" s="8"/>
      <c r="AN82" s="8"/>
      <c r="AO82" s="8"/>
      <c r="AP82" s="8"/>
      <c r="AQ82" s="9"/>
    </row>
    <row r="83" spans="1:43" ht="24.75" customHeight="1" x14ac:dyDescent="0.3">
      <c r="A83" s="65" t="s">
        <v>14</v>
      </c>
      <c r="B83" s="24">
        <f t="shared" si="52"/>
        <v>245264.451</v>
      </c>
      <c r="C83" s="24">
        <f t="shared" si="53"/>
        <v>245264.451</v>
      </c>
      <c r="D83" s="24">
        <f t="shared" ref="D83:D85" si="55">E83</f>
        <v>234131.61099999998</v>
      </c>
      <c r="E83" s="24">
        <f>I83+K83+M83+O83+Q83+S83+U83+W83+Y83+AA83+AC83+AE83</f>
        <v>234131.61099999998</v>
      </c>
      <c r="F83" s="24">
        <f t="shared" si="1"/>
        <v>95.460883159133388</v>
      </c>
      <c r="G83" s="24">
        <f t="shared" si="2"/>
        <v>95.460883159133388</v>
      </c>
      <c r="H83" s="24">
        <f t="shared" ref="H83:U83" si="56">H16+H21+H26+H34+H41+H46+H72+H79+H29</f>
        <v>17201.732</v>
      </c>
      <c r="I83" s="24">
        <f t="shared" si="56"/>
        <v>9930.8140599999988</v>
      </c>
      <c r="J83" s="24">
        <f t="shared" si="56"/>
        <v>20405.519000000004</v>
      </c>
      <c r="K83" s="24">
        <f t="shared" si="56"/>
        <v>19994.686750000001</v>
      </c>
      <c r="L83" s="24">
        <f t="shared" si="56"/>
        <v>17255.98559</v>
      </c>
      <c r="M83" s="24">
        <f t="shared" si="56"/>
        <v>16252.232889999997</v>
      </c>
      <c r="N83" s="24">
        <f t="shared" si="56"/>
        <v>24097.14</v>
      </c>
      <c r="O83" s="24">
        <f t="shared" si="56"/>
        <v>18951.751790000002</v>
      </c>
      <c r="P83" s="24">
        <f t="shared" si="56"/>
        <v>30626.933510000003</v>
      </c>
      <c r="Q83" s="24">
        <f t="shared" si="56"/>
        <v>25407.019639999995</v>
      </c>
      <c r="R83" s="24">
        <f t="shared" si="56"/>
        <v>26019.177000000007</v>
      </c>
      <c r="S83" s="24">
        <f t="shared" si="56"/>
        <v>26309.6728</v>
      </c>
      <c r="T83" s="24">
        <f t="shared" si="56"/>
        <v>18291.651900000001</v>
      </c>
      <c r="U83" s="24">
        <f t="shared" si="56"/>
        <v>20955.552800000001</v>
      </c>
      <c r="V83" s="24">
        <f>V16+V21+V26+V34+V41+V46+V72+V79+V29+V65</f>
        <v>19194.96819</v>
      </c>
      <c r="W83" s="24">
        <f t="shared" ref="W83:AE83" si="57">W16+W21+W26+W34+W41+W46+W72+W79+W29</f>
        <v>15470.068300000001</v>
      </c>
      <c r="X83" s="24">
        <f t="shared" si="57"/>
        <v>16264.413060000001</v>
      </c>
      <c r="Y83" s="24">
        <f t="shared" si="57"/>
        <v>14510.15409</v>
      </c>
      <c r="Z83" s="24">
        <f t="shared" si="57"/>
        <v>18999.336130000003</v>
      </c>
      <c r="AA83" s="24">
        <f t="shared" si="57"/>
        <v>17948.739660000003</v>
      </c>
      <c r="AB83" s="24">
        <f t="shared" si="57"/>
        <v>17755.95681</v>
      </c>
      <c r="AC83" s="24">
        <f t="shared" si="57"/>
        <v>17074.018219999998</v>
      </c>
      <c r="AD83" s="24">
        <f>AD16+AD21+AD26+AD34+AD41+AD46+AD72+AD79+AD29</f>
        <v>19151.637809999997</v>
      </c>
      <c r="AE83" s="24">
        <f t="shared" si="57"/>
        <v>31326.9</v>
      </c>
      <c r="AF83" s="48"/>
      <c r="AG83" s="31"/>
      <c r="AH83" s="8"/>
      <c r="AI83" s="8"/>
      <c r="AJ83" s="8"/>
      <c r="AK83" s="8"/>
      <c r="AL83" s="8"/>
      <c r="AM83" s="8"/>
      <c r="AN83" s="8"/>
      <c r="AO83" s="8"/>
      <c r="AP83" s="8"/>
      <c r="AQ83" s="9"/>
    </row>
    <row r="84" spans="1:43" ht="39.75" customHeight="1" x14ac:dyDescent="0.3">
      <c r="A84" s="66" t="s">
        <v>41</v>
      </c>
      <c r="B84" s="51">
        <f t="shared" si="52"/>
        <v>39.800000000000004</v>
      </c>
      <c r="C84" s="51">
        <f t="shared" si="53"/>
        <v>39.800000000000004</v>
      </c>
      <c r="D84" s="51">
        <f t="shared" si="55"/>
        <v>39.800000000000004</v>
      </c>
      <c r="E84" s="51">
        <f t="shared" ref="E84:E85" si="58">I84+K84+M84+O84+Q84+S84+U84+W84+Y84+AA84+AC84+AE84</f>
        <v>39.800000000000004</v>
      </c>
      <c r="F84" s="51">
        <f t="shared" si="1"/>
        <v>100</v>
      </c>
      <c r="G84" s="51">
        <f t="shared" si="2"/>
        <v>100</v>
      </c>
      <c r="H84" s="51">
        <f>H35</f>
        <v>0</v>
      </c>
      <c r="I84" s="51">
        <f>I35</f>
        <v>0</v>
      </c>
      <c r="J84" s="51">
        <f t="shared" ref="J84:AE84" si="59">J35</f>
        <v>0</v>
      </c>
      <c r="K84" s="51">
        <f t="shared" si="59"/>
        <v>0</v>
      </c>
      <c r="L84" s="51">
        <f t="shared" si="59"/>
        <v>23.489000000000001</v>
      </c>
      <c r="M84" s="51">
        <f t="shared" si="59"/>
        <v>23.49</v>
      </c>
      <c r="N84" s="51">
        <f t="shared" si="59"/>
        <v>0</v>
      </c>
      <c r="O84" s="51">
        <f t="shared" si="59"/>
        <v>0</v>
      </c>
      <c r="P84" s="51">
        <f t="shared" si="59"/>
        <v>0</v>
      </c>
      <c r="Q84" s="51">
        <f t="shared" si="59"/>
        <v>0</v>
      </c>
      <c r="R84" s="51">
        <f t="shared" si="59"/>
        <v>14.481999999999999</v>
      </c>
      <c r="S84" s="51">
        <f t="shared" si="59"/>
        <v>0</v>
      </c>
      <c r="T84" s="51">
        <f t="shared" si="59"/>
        <v>6.3E-2</v>
      </c>
      <c r="U84" s="51">
        <f t="shared" si="59"/>
        <v>14.48</v>
      </c>
      <c r="V84" s="51">
        <f t="shared" si="59"/>
        <v>0</v>
      </c>
      <c r="W84" s="51">
        <f t="shared" si="59"/>
        <v>0.06</v>
      </c>
      <c r="X84" s="51">
        <f t="shared" si="59"/>
        <v>1.766</v>
      </c>
      <c r="Y84" s="51">
        <f t="shared" si="59"/>
        <v>1.77</v>
      </c>
      <c r="Z84" s="51">
        <f t="shared" si="59"/>
        <v>0</v>
      </c>
      <c r="AA84" s="51">
        <f t="shared" si="59"/>
        <v>0</v>
      </c>
      <c r="AB84" s="51">
        <f t="shared" si="59"/>
        <v>0</v>
      </c>
      <c r="AC84" s="51">
        <f t="shared" si="59"/>
        <v>0</v>
      </c>
      <c r="AD84" s="51">
        <f t="shared" si="59"/>
        <v>0</v>
      </c>
      <c r="AE84" s="51">
        <f t="shared" si="59"/>
        <v>0</v>
      </c>
      <c r="AF84" s="48"/>
      <c r="AG84" s="31"/>
      <c r="AH84" s="13"/>
      <c r="AI84" s="13"/>
      <c r="AJ84" s="13"/>
      <c r="AK84" s="13"/>
      <c r="AL84" s="13"/>
      <c r="AM84" s="13"/>
      <c r="AN84" s="13"/>
      <c r="AO84" s="13"/>
      <c r="AP84" s="13"/>
      <c r="AQ84" s="9"/>
    </row>
    <row r="85" spans="1:43" ht="21.75" customHeight="1" x14ac:dyDescent="0.3">
      <c r="A85" s="65" t="s">
        <v>26</v>
      </c>
      <c r="B85" s="24">
        <f t="shared" si="52"/>
        <v>17365.306140000001</v>
      </c>
      <c r="C85" s="24">
        <f t="shared" si="53"/>
        <v>17365.306140000001</v>
      </c>
      <c r="D85" s="24">
        <f t="shared" si="55"/>
        <v>17365.3</v>
      </c>
      <c r="E85" s="24">
        <f t="shared" si="58"/>
        <v>17365.3</v>
      </c>
      <c r="F85" s="24">
        <f t="shared" si="1"/>
        <v>99.999964642143652</v>
      </c>
      <c r="G85" s="24">
        <f t="shared" si="2"/>
        <v>99.999964642143652</v>
      </c>
      <c r="H85" s="24">
        <f>H60+H54</f>
        <v>0</v>
      </c>
      <c r="I85" s="24">
        <f t="shared" ref="I85:AE85" si="60">I60+I54</f>
        <v>0</v>
      </c>
      <c r="J85" s="24">
        <f t="shared" si="60"/>
        <v>0</v>
      </c>
      <c r="K85" s="24">
        <f t="shared" si="60"/>
        <v>0</v>
      </c>
      <c r="L85" s="24">
        <f t="shared" si="60"/>
        <v>0</v>
      </c>
      <c r="M85" s="24">
        <f t="shared" si="60"/>
        <v>0</v>
      </c>
      <c r="N85" s="24">
        <f t="shared" si="60"/>
        <v>3500</v>
      </c>
      <c r="O85" s="24">
        <f t="shared" si="60"/>
        <v>3500</v>
      </c>
      <c r="P85" s="24">
        <f t="shared" si="60"/>
        <v>0</v>
      </c>
      <c r="Q85" s="24">
        <f t="shared" si="60"/>
        <v>0</v>
      </c>
      <c r="R85" s="24">
        <f t="shared" si="60"/>
        <v>10365.306140000001</v>
      </c>
      <c r="S85" s="24">
        <f t="shared" si="60"/>
        <v>2407.1799999999998</v>
      </c>
      <c r="T85" s="24">
        <f t="shared" si="60"/>
        <v>0</v>
      </c>
      <c r="U85" s="24">
        <f t="shared" si="60"/>
        <v>0</v>
      </c>
      <c r="V85" s="24">
        <f t="shared" si="60"/>
        <v>0</v>
      </c>
      <c r="W85" s="24">
        <f t="shared" si="60"/>
        <v>0</v>
      </c>
      <c r="X85" s="24">
        <f t="shared" si="60"/>
        <v>0</v>
      </c>
      <c r="Y85" s="24">
        <f t="shared" si="60"/>
        <v>0</v>
      </c>
      <c r="Z85" s="24">
        <f t="shared" si="60"/>
        <v>0</v>
      </c>
      <c r="AA85" s="24">
        <f t="shared" si="60"/>
        <v>0</v>
      </c>
      <c r="AB85" s="24">
        <f t="shared" si="60"/>
        <v>3500</v>
      </c>
      <c r="AC85" s="24">
        <f t="shared" si="60"/>
        <v>3500</v>
      </c>
      <c r="AD85" s="24">
        <f t="shared" si="60"/>
        <v>0</v>
      </c>
      <c r="AE85" s="24">
        <f t="shared" si="60"/>
        <v>7958.12</v>
      </c>
      <c r="AF85" s="48"/>
      <c r="AG85" s="31"/>
      <c r="AH85" s="8"/>
      <c r="AI85" s="8"/>
      <c r="AJ85" s="8"/>
      <c r="AK85" s="8"/>
      <c r="AL85" s="8"/>
      <c r="AM85" s="8"/>
      <c r="AN85" s="8"/>
      <c r="AO85" s="8"/>
      <c r="AP85" s="8"/>
      <c r="AQ85" s="9"/>
    </row>
    <row r="86" spans="1:43" ht="21" customHeight="1" x14ac:dyDescent="0.2">
      <c r="A86" s="120"/>
      <c r="B86" s="121"/>
      <c r="C86" s="73"/>
      <c r="D86" s="73"/>
      <c r="E86" s="73"/>
      <c r="F86" s="73"/>
      <c r="G86" s="73"/>
      <c r="H86" s="122"/>
      <c r="I86" s="122"/>
      <c r="J86" s="122"/>
      <c r="K86" s="74"/>
      <c r="L86" s="75"/>
      <c r="M86" s="75"/>
      <c r="N86" s="75"/>
      <c r="O86" s="75"/>
      <c r="P86" s="75"/>
      <c r="Q86" s="75"/>
      <c r="R86" s="75"/>
      <c r="S86" s="75"/>
      <c r="T86" s="76"/>
      <c r="U86" s="76"/>
      <c r="V86" s="76"/>
      <c r="W86" s="76"/>
      <c r="X86" s="76"/>
      <c r="Y86" s="76"/>
      <c r="Z86" s="77"/>
      <c r="AA86" s="32"/>
      <c r="AB86" s="32"/>
      <c r="AC86" s="32"/>
      <c r="AD86" s="32"/>
      <c r="AE86" s="32"/>
      <c r="AG86" s="31"/>
    </row>
    <row r="87" spans="1:43" ht="18.75" x14ac:dyDescent="0.2">
      <c r="A87" s="119" t="s">
        <v>60</v>
      </c>
      <c r="B87" s="119"/>
      <c r="C87" s="119"/>
      <c r="D87" s="119"/>
      <c r="E87" s="119"/>
      <c r="F87" s="119"/>
      <c r="G87" s="119"/>
      <c r="H87" s="119"/>
      <c r="I87" s="119"/>
      <c r="J87" s="119"/>
      <c r="K87" s="119"/>
      <c r="L87" s="119"/>
      <c r="M87" s="119"/>
      <c r="N87" s="119"/>
      <c r="O87" s="119"/>
      <c r="P87" s="119"/>
      <c r="Q87" s="119"/>
      <c r="R87" s="119"/>
      <c r="S87" s="91"/>
      <c r="T87" s="92"/>
      <c r="U87" s="92"/>
      <c r="V87" s="92"/>
      <c r="W87" s="92"/>
      <c r="X87" s="92"/>
      <c r="Y87" s="92"/>
      <c r="Z87" s="93"/>
      <c r="AA87" s="33"/>
      <c r="AB87" s="32"/>
      <c r="AC87" s="32"/>
      <c r="AD87" s="32"/>
      <c r="AE87" s="32"/>
      <c r="AG87" s="31"/>
    </row>
    <row r="88" spans="1:43" s="8" customFormat="1" ht="39" customHeight="1" x14ac:dyDescent="0.3">
      <c r="A88" s="113" t="s">
        <v>59</v>
      </c>
      <c r="B88" s="113"/>
      <c r="C88" s="113"/>
      <c r="D88" s="113"/>
      <c r="E88" s="113"/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3"/>
      <c r="U88" s="113"/>
      <c r="V88" s="113"/>
      <c r="W88" s="113"/>
      <c r="X88" s="113"/>
      <c r="Y88" s="113"/>
      <c r="Z88" s="113"/>
      <c r="AA88" s="40"/>
      <c r="AB88" s="32"/>
      <c r="AC88" s="32"/>
      <c r="AD88" s="32"/>
      <c r="AE88" s="32"/>
      <c r="AF88" s="2"/>
      <c r="AG88" s="31"/>
      <c r="AH88" s="2"/>
      <c r="AI88" s="2"/>
      <c r="AJ88" s="2"/>
      <c r="AK88" s="2"/>
      <c r="AL88" s="2"/>
      <c r="AM88" s="2"/>
      <c r="AN88" s="2"/>
      <c r="AO88" s="2"/>
      <c r="AP88" s="2"/>
      <c r="AQ88" s="2"/>
    </row>
    <row r="89" spans="1:43" s="8" customFormat="1" x14ac:dyDescent="0.2">
      <c r="A89" s="78"/>
      <c r="B89" s="79"/>
      <c r="C89" s="79"/>
      <c r="D89" s="79"/>
      <c r="E89" s="79"/>
      <c r="F89" s="79"/>
      <c r="G89" s="79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1"/>
      <c r="U89" s="81"/>
      <c r="V89" s="81"/>
      <c r="W89" s="81"/>
      <c r="X89" s="81"/>
      <c r="Y89" s="81"/>
      <c r="Z89" s="82"/>
      <c r="AA89" s="15"/>
      <c r="AB89" s="15"/>
      <c r="AC89" s="15"/>
      <c r="AD89" s="15"/>
      <c r="AE89" s="15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</row>
    <row r="90" spans="1:43" s="8" customFormat="1" x14ac:dyDescent="0.2">
      <c r="A90" s="78"/>
      <c r="B90" s="78"/>
      <c r="C90" s="78"/>
      <c r="D90" s="78"/>
      <c r="E90" s="78"/>
      <c r="F90" s="78"/>
      <c r="G90" s="78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1"/>
      <c r="U90" s="81"/>
      <c r="V90" s="81"/>
      <c r="W90" s="81"/>
      <c r="X90" s="81"/>
      <c r="Y90" s="81"/>
      <c r="Z90" s="82"/>
      <c r="AA90" s="15"/>
      <c r="AB90" s="15"/>
      <c r="AC90" s="15"/>
      <c r="AD90" s="15"/>
      <c r="AE90" s="15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</row>
    <row r="91" spans="1:43" s="8" customFormat="1" x14ac:dyDescent="0.2">
      <c r="A91" s="78"/>
      <c r="B91" s="78"/>
      <c r="C91" s="78"/>
      <c r="D91" s="78"/>
      <c r="E91" s="78"/>
      <c r="F91" s="78"/>
      <c r="G91" s="78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1"/>
      <c r="U91" s="81"/>
      <c r="V91" s="81"/>
      <c r="W91" s="81"/>
      <c r="X91" s="81"/>
      <c r="Y91" s="81"/>
      <c r="Z91" s="82"/>
      <c r="AA91" s="15"/>
      <c r="AB91" s="15"/>
      <c r="AC91" s="15"/>
      <c r="AD91" s="15"/>
      <c r="AE91" s="15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</row>
    <row r="92" spans="1:43" s="8" customFormat="1" x14ac:dyDescent="0.2">
      <c r="A92" s="78"/>
      <c r="B92" s="78"/>
      <c r="C92" s="78"/>
      <c r="D92" s="78"/>
      <c r="E92" s="78"/>
      <c r="F92" s="78"/>
      <c r="G92" s="78"/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1"/>
      <c r="U92" s="81"/>
      <c r="V92" s="81"/>
      <c r="W92" s="81"/>
      <c r="X92" s="81"/>
      <c r="Y92" s="81"/>
      <c r="Z92" s="82"/>
      <c r="AA92" s="15"/>
      <c r="AB92" s="15"/>
      <c r="AC92" s="15"/>
      <c r="AD92" s="15"/>
      <c r="AE92" s="15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</row>
    <row r="93" spans="1:43" s="8" customFormat="1" x14ac:dyDescent="0.2">
      <c r="A93" s="78"/>
      <c r="B93" s="78"/>
      <c r="C93" s="78"/>
      <c r="D93" s="78"/>
      <c r="E93" s="78"/>
      <c r="F93" s="78"/>
      <c r="G93" s="78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1"/>
      <c r="U93" s="81"/>
      <c r="V93" s="81"/>
      <c r="W93" s="81"/>
      <c r="X93" s="81"/>
      <c r="Y93" s="81"/>
      <c r="Z93" s="82"/>
      <c r="AA93" s="15"/>
      <c r="AB93" s="15"/>
      <c r="AC93" s="15"/>
      <c r="AD93" s="15"/>
      <c r="AE93" s="15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</row>
    <row r="94" spans="1:43" s="8" customFormat="1" x14ac:dyDescent="0.2">
      <c r="A94" s="78"/>
      <c r="B94" s="78"/>
      <c r="C94" s="78"/>
      <c r="D94" s="78"/>
      <c r="E94" s="78"/>
      <c r="F94" s="78"/>
      <c r="G94" s="78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1"/>
      <c r="U94" s="81"/>
      <c r="V94" s="81"/>
      <c r="W94" s="81"/>
      <c r="X94" s="81"/>
      <c r="Y94" s="81"/>
      <c r="Z94" s="82"/>
      <c r="AA94" s="15"/>
      <c r="AB94" s="15"/>
      <c r="AC94" s="15"/>
      <c r="AD94" s="15"/>
      <c r="AE94" s="15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</row>
    <row r="95" spans="1:43" s="8" customFormat="1" x14ac:dyDescent="0.2">
      <c r="A95" s="78"/>
      <c r="B95" s="78"/>
      <c r="C95" s="78"/>
      <c r="D95" s="78"/>
      <c r="E95" s="78"/>
      <c r="F95" s="78"/>
      <c r="G95" s="78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1"/>
      <c r="U95" s="81"/>
      <c r="V95" s="81"/>
      <c r="W95" s="81"/>
      <c r="X95" s="81"/>
      <c r="Y95" s="81"/>
      <c r="Z95" s="82"/>
      <c r="AA95" s="15"/>
      <c r="AB95" s="15"/>
      <c r="AC95" s="15"/>
      <c r="AD95" s="15"/>
      <c r="AE95" s="15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</row>
    <row r="96" spans="1:43" s="8" customFormat="1" x14ac:dyDescent="0.2">
      <c r="A96" s="78"/>
      <c r="B96" s="78"/>
      <c r="C96" s="78"/>
      <c r="D96" s="78"/>
      <c r="E96" s="78"/>
      <c r="F96" s="78"/>
      <c r="G96" s="78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1"/>
      <c r="U96" s="81"/>
      <c r="V96" s="81"/>
      <c r="W96" s="81"/>
      <c r="X96" s="81"/>
      <c r="Y96" s="81"/>
      <c r="Z96" s="82"/>
      <c r="AA96" s="15"/>
      <c r="AB96" s="15"/>
      <c r="AC96" s="15"/>
      <c r="AD96" s="15"/>
      <c r="AE96" s="15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</row>
    <row r="97" spans="1:43" s="8" customFormat="1" x14ac:dyDescent="0.2">
      <c r="A97" s="78"/>
      <c r="B97" s="78"/>
      <c r="C97" s="78"/>
      <c r="D97" s="78"/>
      <c r="E97" s="78"/>
      <c r="F97" s="78"/>
      <c r="G97" s="78"/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81"/>
      <c r="U97" s="81"/>
      <c r="V97" s="81"/>
      <c r="W97" s="81"/>
      <c r="X97" s="81"/>
      <c r="Y97" s="81"/>
      <c r="Z97" s="82"/>
      <c r="AA97" s="15"/>
      <c r="AB97" s="15"/>
      <c r="AC97" s="15"/>
      <c r="AD97" s="15"/>
      <c r="AE97" s="15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</row>
    <row r="98" spans="1:43" s="8" customFormat="1" x14ac:dyDescent="0.2">
      <c r="A98" s="78"/>
      <c r="B98" s="78"/>
      <c r="C98" s="78"/>
      <c r="D98" s="78"/>
      <c r="E98" s="78"/>
      <c r="F98" s="78"/>
      <c r="G98" s="78"/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81"/>
      <c r="U98" s="81"/>
      <c r="V98" s="81"/>
      <c r="W98" s="81"/>
      <c r="X98" s="81"/>
      <c r="Y98" s="81"/>
      <c r="Z98" s="82"/>
      <c r="AA98" s="15"/>
      <c r="AB98" s="15"/>
      <c r="AC98" s="15"/>
      <c r="AD98" s="15"/>
      <c r="AE98" s="15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</row>
    <row r="99" spans="1:43" s="8" customFormat="1" x14ac:dyDescent="0.2">
      <c r="A99" s="78"/>
      <c r="B99" s="78"/>
      <c r="C99" s="78"/>
      <c r="D99" s="78"/>
      <c r="E99" s="78"/>
      <c r="F99" s="78"/>
      <c r="G99" s="78"/>
      <c r="H99" s="80"/>
      <c r="I99" s="80"/>
      <c r="J99" s="80"/>
      <c r="K99" s="80"/>
      <c r="L99" s="80"/>
      <c r="M99" s="80"/>
      <c r="N99" s="80"/>
      <c r="O99" s="80"/>
      <c r="P99" s="80"/>
      <c r="Q99" s="80"/>
      <c r="R99" s="80"/>
      <c r="S99" s="80"/>
      <c r="T99" s="81" t="s">
        <v>18</v>
      </c>
      <c r="U99" s="81"/>
      <c r="V99" s="81"/>
      <c r="W99" s="81"/>
      <c r="X99" s="81"/>
      <c r="Y99" s="81"/>
      <c r="Z99" s="82"/>
      <c r="AA99" s="15"/>
      <c r="AB99" s="15"/>
      <c r="AC99" s="15"/>
      <c r="AD99" s="15"/>
      <c r="AE99" s="15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</row>
    <row r="100" spans="1:43" s="8" customFormat="1" x14ac:dyDescent="0.2">
      <c r="A100" s="78"/>
      <c r="B100" s="78"/>
      <c r="C100" s="78"/>
      <c r="D100" s="78"/>
      <c r="E100" s="78"/>
      <c r="F100" s="78"/>
      <c r="G100" s="78"/>
      <c r="H100" s="80"/>
      <c r="I100" s="80"/>
      <c r="J100" s="80"/>
      <c r="K100" s="80"/>
      <c r="L100" s="80"/>
      <c r="M100" s="80"/>
      <c r="N100" s="80"/>
      <c r="O100" s="80"/>
      <c r="P100" s="80"/>
      <c r="Q100" s="80"/>
      <c r="R100" s="80"/>
      <c r="S100" s="80"/>
      <c r="T100" s="81"/>
      <c r="U100" s="81"/>
      <c r="V100" s="81"/>
      <c r="W100" s="81"/>
      <c r="X100" s="81"/>
      <c r="Y100" s="81"/>
      <c r="Z100" s="82"/>
      <c r="AA100" s="15"/>
      <c r="AB100" s="15"/>
      <c r="AC100" s="15"/>
      <c r="AD100" s="15"/>
      <c r="AE100" s="15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</row>
    <row r="101" spans="1:43" s="8" customFormat="1" x14ac:dyDescent="0.2">
      <c r="A101" s="78"/>
      <c r="B101" s="78"/>
      <c r="C101" s="78"/>
      <c r="D101" s="78"/>
      <c r="E101" s="78"/>
      <c r="F101" s="78"/>
      <c r="G101" s="78"/>
      <c r="H101" s="80"/>
      <c r="I101" s="80"/>
      <c r="J101" s="80"/>
      <c r="K101" s="80"/>
      <c r="L101" s="80"/>
      <c r="M101" s="80"/>
      <c r="N101" s="80"/>
      <c r="O101" s="80"/>
      <c r="P101" s="80"/>
      <c r="Q101" s="80"/>
      <c r="R101" s="80"/>
      <c r="S101" s="80"/>
      <c r="T101" s="81"/>
      <c r="U101" s="81"/>
      <c r="V101" s="81"/>
      <c r="W101" s="81"/>
      <c r="X101" s="81"/>
      <c r="Y101" s="81"/>
      <c r="Z101" s="82"/>
      <c r="AA101" s="15"/>
      <c r="AB101" s="15"/>
      <c r="AC101" s="15"/>
      <c r="AD101" s="15"/>
      <c r="AE101" s="15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</row>
    <row r="102" spans="1:43" s="8" customFormat="1" x14ac:dyDescent="0.2">
      <c r="A102" s="78"/>
      <c r="B102" s="78"/>
      <c r="C102" s="78"/>
      <c r="D102" s="78"/>
      <c r="E102" s="78"/>
      <c r="F102" s="78"/>
      <c r="G102" s="78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1"/>
      <c r="U102" s="81"/>
      <c r="V102" s="81"/>
      <c r="W102" s="81"/>
      <c r="X102" s="81"/>
      <c r="Y102" s="81"/>
      <c r="Z102" s="82"/>
      <c r="AA102" s="15"/>
      <c r="AB102" s="15"/>
      <c r="AC102" s="15"/>
      <c r="AD102" s="15"/>
      <c r="AE102" s="15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</row>
    <row r="103" spans="1:43" s="8" customFormat="1" x14ac:dyDescent="0.2">
      <c r="A103" s="78"/>
      <c r="B103" s="78"/>
      <c r="C103" s="78"/>
      <c r="D103" s="78"/>
      <c r="E103" s="78"/>
      <c r="F103" s="78"/>
      <c r="G103" s="78"/>
      <c r="H103" s="80"/>
      <c r="I103" s="80"/>
      <c r="J103" s="80"/>
      <c r="K103" s="80"/>
      <c r="L103" s="80"/>
      <c r="M103" s="80"/>
      <c r="N103" s="80"/>
      <c r="O103" s="80"/>
      <c r="P103" s="80"/>
      <c r="Q103" s="80"/>
      <c r="R103" s="80"/>
      <c r="S103" s="80"/>
      <c r="T103" s="81"/>
      <c r="U103" s="81"/>
      <c r="V103" s="81"/>
      <c r="W103" s="81"/>
      <c r="X103" s="81"/>
      <c r="Y103" s="81"/>
      <c r="Z103" s="82"/>
      <c r="AA103" s="15"/>
      <c r="AB103" s="15"/>
      <c r="AC103" s="15"/>
      <c r="AD103" s="15"/>
      <c r="AE103" s="15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</row>
    <row r="104" spans="1:43" s="8" customFormat="1" x14ac:dyDescent="0.2">
      <c r="A104" s="78"/>
      <c r="B104" s="78"/>
      <c r="C104" s="78"/>
      <c r="D104" s="78"/>
      <c r="E104" s="78"/>
      <c r="F104" s="78"/>
      <c r="G104" s="78"/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81"/>
      <c r="U104" s="81"/>
      <c r="V104" s="81"/>
      <c r="W104" s="81"/>
      <c r="X104" s="81"/>
      <c r="Y104" s="81"/>
      <c r="Z104" s="82"/>
      <c r="AA104" s="15"/>
      <c r="AB104" s="15"/>
      <c r="AC104" s="15"/>
      <c r="AD104" s="15"/>
      <c r="AE104" s="15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</row>
    <row r="105" spans="1:43" s="8" customFormat="1" x14ac:dyDescent="0.2">
      <c r="A105" s="78"/>
      <c r="B105" s="78"/>
      <c r="C105" s="78"/>
      <c r="D105" s="78"/>
      <c r="E105" s="78"/>
      <c r="F105" s="78"/>
      <c r="G105" s="78"/>
      <c r="H105" s="80"/>
      <c r="I105" s="80"/>
      <c r="J105" s="80"/>
      <c r="K105" s="80"/>
      <c r="L105" s="80"/>
      <c r="M105" s="80"/>
      <c r="N105" s="80"/>
      <c r="O105" s="80"/>
      <c r="P105" s="80"/>
      <c r="Q105" s="80"/>
      <c r="R105" s="80"/>
      <c r="S105" s="80"/>
      <c r="T105" s="81"/>
      <c r="U105" s="81"/>
      <c r="V105" s="81"/>
      <c r="W105" s="81"/>
      <c r="X105" s="81"/>
      <c r="Y105" s="81"/>
      <c r="Z105" s="82"/>
      <c r="AA105" s="15"/>
      <c r="AB105" s="15"/>
      <c r="AC105" s="15"/>
      <c r="AD105" s="15"/>
      <c r="AE105" s="15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</row>
    <row r="106" spans="1:43" s="8" customFormat="1" x14ac:dyDescent="0.2">
      <c r="A106" s="78"/>
      <c r="B106" s="78"/>
      <c r="C106" s="78"/>
      <c r="D106" s="78"/>
      <c r="E106" s="78"/>
      <c r="F106" s="78"/>
      <c r="G106" s="78"/>
      <c r="H106" s="80"/>
      <c r="I106" s="80"/>
      <c r="J106" s="80"/>
      <c r="K106" s="80"/>
      <c r="L106" s="80"/>
      <c r="M106" s="80"/>
      <c r="N106" s="80"/>
      <c r="O106" s="80"/>
      <c r="P106" s="80"/>
      <c r="Q106" s="80"/>
      <c r="R106" s="80"/>
      <c r="S106" s="80"/>
      <c r="T106" s="81"/>
      <c r="U106" s="81"/>
      <c r="V106" s="81"/>
      <c r="W106" s="81"/>
      <c r="X106" s="81"/>
      <c r="Y106" s="81"/>
      <c r="Z106" s="82"/>
      <c r="AA106" s="15"/>
      <c r="AB106" s="15"/>
      <c r="AC106" s="15"/>
      <c r="AD106" s="15"/>
      <c r="AE106" s="15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</row>
    <row r="107" spans="1:43" s="8" customFormat="1" x14ac:dyDescent="0.2">
      <c r="A107" s="78"/>
      <c r="B107" s="78"/>
      <c r="C107" s="78"/>
      <c r="D107" s="78"/>
      <c r="E107" s="78"/>
      <c r="F107" s="78"/>
      <c r="G107" s="78"/>
      <c r="H107" s="80"/>
      <c r="I107" s="80"/>
      <c r="J107" s="80"/>
      <c r="K107" s="80"/>
      <c r="L107" s="80"/>
      <c r="M107" s="80"/>
      <c r="N107" s="80"/>
      <c r="O107" s="80"/>
      <c r="P107" s="80"/>
      <c r="Q107" s="80"/>
      <c r="R107" s="80"/>
      <c r="S107" s="80"/>
      <c r="T107" s="81"/>
      <c r="U107" s="81"/>
      <c r="V107" s="81"/>
      <c r="W107" s="81"/>
      <c r="X107" s="81"/>
      <c r="Y107" s="81"/>
      <c r="Z107" s="82"/>
      <c r="AA107" s="15"/>
      <c r="AB107" s="15"/>
      <c r="AC107" s="15"/>
      <c r="AD107" s="15"/>
      <c r="AE107" s="15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</row>
    <row r="108" spans="1:43" s="8" customFormat="1" x14ac:dyDescent="0.2">
      <c r="A108" s="78"/>
      <c r="B108" s="78"/>
      <c r="C108" s="78"/>
      <c r="D108" s="78"/>
      <c r="E108" s="78"/>
      <c r="F108" s="78"/>
      <c r="G108" s="78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1"/>
      <c r="U108" s="81"/>
      <c r="V108" s="81"/>
      <c r="W108" s="81"/>
      <c r="X108" s="81"/>
      <c r="Y108" s="81"/>
      <c r="Z108" s="82"/>
      <c r="AA108" s="15"/>
      <c r="AB108" s="15"/>
      <c r="AC108" s="15"/>
      <c r="AD108" s="15"/>
      <c r="AE108" s="15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</row>
    <row r="109" spans="1:43" s="8" customFormat="1" x14ac:dyDescent="0.2">
      <c r="A109" s="78"/>
      <c r="B109" s="78"/>
      <c r="C109" s="78"/>
      <c r="D109" s="78"/>
      <c r="E109" s="78"/>
      <c r="F109" s="78"/>
      <c r="G109" s="78"/>
      <c r="H109" s="80"/>
      <c r="I109" s="80"/>
      <c r="J109" s="80"/>
      <c r="K109" s="80"/>
      <c r="L109" s="80"/>
      <c r="M109" s="80"/>
      <c r="N109" s="80"/>
      <c r="O109" s="80"/>
      <c r="P109" s="80"/>
      <c r="Q109" s="80"/>
      <c r="R109" s="80"/>
      <c r="S109" s="80"/>
      <c r="T109" s="81"/>
      <c r="U109" s="81"/>
      <c r="V109" s="81"/>
      <c r="W109" s="81"/>
      <c r="X109" s="81"/>
      <c r="Y109" s="81"/>
      <c r="Z109" s="82"/>
      <c r="AA109" s="15"/>
      <c r="AB109" s="15"/>
      <c r="AC109" s="15"/>
      <c r="AD109" s="15"/>
      <c r="AE109" s="15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</row>
    <row r="110" spans="1:43" s="8" customFormat="1" x14ac:dyDescent="0.2">
      <c r="A110" s="78"/>
      <c r="B110" s="78"/>
      <c r="C110" s="78"/>
      <c r="D110" s="78"/>
      <c r="E110" s="78"/>
      <c r="F110" s="78"/>
      <c r="G110" s="78"/>
      <c r="H110" s="80"/>
      <c r="I110" s="80"/>
      <c r="J110" s="80"/>
      <c r="K110" s="80"/>
      <c r="L110" s="80"/>
      <c r="M110" s="80"/>
      <c r="N110" s="80"/>
      <c r="O110" s="80"/>
      <c r="P110" s="80"/>
      <c r="Q110" s="80"/>
      <c r="R110" s="80"/>
      <c r="S110" s="80"/>
      <c r="T110" s="81"/>
      <c r="U110" s="81"/>
      <c r="V110" s="81"/>
      <c r="W110" s="81"/>
      <c r="X110" s="81"/>
      <c r="Y110" s="81"/>
      <c r="Z110" s="82"/>
      <c r="AA110" s="15"/>
      <c r="AB110" s="15"/>
      <c r="AC110" s="15"/>
      <c r="AD110" s="15"/>
      <c r="AE110" s="15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</row>
    <row r="111" spans="1:43" s="8" customFormat="1" x14ac:dyDescent="0.2">
      <c r="A111" s="78"/>
      <c r="B111" s="78"/>
      <c r="C111" s="78"/>
      <c r="D111" s="78"/>
      <c r="E111" s="78"/>
      <c r="F111" s="78"/>
      <c r="G111" s="78"/>
      <c r="H111" s="80"/>
      <c r="I111" s="80"/>
      <c r="J111" s="80"/>
      <c r="K111" s="80"/>
      <c r="L111" s="80"/>
      <c r="M111" s="80"/>
      <c r="N111" s="80"/>
      <c r="O111" s="80"/>
      <c r="P111" s="80"/>
      <c r="Q111" s="80"/>
      <c r="R111" s="80"/>
      <c r="S111" s="80"/>
      <c r="T111" s="81"/>
      <c r="U111" s="81"/>
      <c r="V111" s="81"/>
      <c r="W111" s="81"/>
      <c r="X111" s="81"/>
      <c r="Y111" s="81"/>
      <c r="Z111" s="82"/>
      <c r="AA111" s="15"/>
      <c r="AB111" s="15"/>
      <c r="AC111" s="15"/>
      <c r="AD111" s="15"/>
      <c r="AE111" s="15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</row>
    <row r="112" spans="1:43" s="8" customFormat="1" x14ac:dyDescent="0.2">
      <c r="A112" s="78"/>
      <c r="B112" s="78"/>
      <c r="C112" s="78"/>
      <c r="D112" s="78"/>
      <c r="E112" s="78"/>
      <c r="F112" s="78"/>
      <c r="G112" s="78"/>
      <c r="H112" s="80"/>
      <c r="I112" s="80"/>
      <c r="J112" s="80"/>
      <c r="K112" s="80"/>
      <c r="L112" s="80"/>
      <c r="M112" s="80"/>
      <c r="N112" s="80"/>
      <c r="O112" s="80"/>
      <c r="P112" s="80"/>
      <c r="Q112" s="80"/>
      <c r="R112" s="80"/>
      <c r="S112" s="80"/>
      <c r="T112" s="81"/>
      <c r="U112" s="81"/>
      <c r="V112" s="81"/>
      <c r="W112" s="81"/>
      <c r="X112" s="81"/>
      <c r="Y112" s="81"/>
      <c r="Z112" s="82"/>
      <c r="AA112" s="15"/>
      <c r="AB112" s="15"/>
      <c r="AC112" s="15"/>
      <c r="AD112" s="15"/>
      <c r="AE112" s="15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</row>
    <row r="113" spans="1:43" s="8" customFormat="1" x14ac:dyDescent="0.2">
      <c r="A113" s="78"/>
      <c r="B113" s="78"/>
      <c r="C113" s="78"/>
      <c r="D113" s="78"/>
      <c r="E113" s="78"/>
      <c r="F113" s="78"/>
      <c r="G113" s="78"/>
      <c r="H113" s="80"/>
      <c r="I113" s="80"/>
      <c r="J113" s="80"/>
      <c r="K113" s="80"/>
      <c r="L113" s="80"/>
      <c r="M113" s="80"/>
      <c r="N113" s="80"/>
      <c r="O113" s="80"/>
      <c r="P113" s="80"/>
      <c r="Q113" s="80"/>
      <c r="R113" s="80"/>
      <c r="S113" s="80"/>
      <c r="T113" s="81"/>
      <c r="U113" s="81"/>
      <c r="V113" s="81"/>
      <c r="W113" s="81"/>
      <c r="X113" s="81"/>
      <c r="Y113" s="81"/>
      <c r="Z113" s="82"/>
      <c r="AA113" s="15"/>
      <c r="AB113" s="15"/>
      <c r="AC113" s="15"/>
      <c r="AD113" s="15"/>
      <c r="AE113" s="15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</row>
    <row r="114" spans="1:43" s="8" customFormat="1" x14ac:dyDescent="0.2">
      <c r="A114" s="78"/>
      <c r="B114" s="78"/>
      <c r="C114" s="78"/>
      <c r="D114" s="78"/>
      <c r="E114" s="78"/>
      <c r="F114" s="78"/>
      <c r="G114" s="78"/>
      <c r="H114" s="80"/>
      <c r="I114" s="80"/>
      <c r="J114" s="80"/>
      <c r="K114" s="80"/>
      <c r="L114" s="80"/>
      <c r="M114" s="80"/>
      <c r="N114" s="80"/>
      <c r="O114" s="80"/>
      <c r="P114" s="80"/>
      <c r="Q114" s="80"/>
      <c r="R114" s="80"/>
      <c r="S114" s="80"/>
      <c r="T114" s="81"/>
      <c r="U114" s="81"/>
      <c r="V114" s="81"/>
      <c r="W114" s="81"/>
      <c r="X114" s="81"/>
      <c r="Y114" s="81"/>
      <c r="Z114" s="82"/>
      <c r="AA114" s="15"/>
      <c r="AB114" s="15"/>
      <c r="AC114" s="15"/>
      <c r="AD114" s="15"/>
      <c r="AE114" s="15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</row>
    <row r="115" spans="1:43" s="8" customFormat="1" x14ac:dyDescent="0.2">
      <c r="A115" s="78"/>
      <c r="B115" s="78"/>
      <c r="C115" s="78"/>
      <c r="D115" s="78"/>
      <c r="E115" s="78"/>
      <c r="F115" s="78"/>
      <c r="G115" s="78"/>
      <c r="H115" s="80"/>
      <c r="I115" s="80"/>
      <c r="J115" s="80"/>
      <c r="K115" s="80"/>
      <c r="L115" s="80"/>
      <c r="M115" s="80"/>
      <c r="N115" s="80"/>
      <c r="O115" s="80"/>
      <c r="P115" s="80"/>
      <c r="Q115" s="80"/>
      <c r="R115" s="80"/>
      <c r="S115" s="80"/>
      <c r="T115" s="81"/>
      <c r="U115" s="81"/>
      <c r="V115" s="81"/>
      <c r="W115" s="81"/>
      <c r="X115" s="81"/>
      <c r="Y115" s="81"/>
      <c r="Z115" s="82"/>
      <c r="AA115" s="15"/>
      <c r="AB115" s="15"/>
      <c r="AC115" s="15"/>
      <c r="AD115" s="15"/>
      <c r="AE115" s="15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</row>
    <row r="116" spans="1:43" s="8" customFormat="1" x14ac:dyDescent="0.2">
      <c r="A116" s="78"/>
      <c r="B116" s="78"/>
      <c r="C116" s="78"/>
      <c r="D116" s="78"/>
      <c r="E116" s="78"/>
      <c r="F116" s="78"/>
      <c r="G116" s="78"/>
      <c r="H116" s="80"/>
      <c r="I116" s="80"/>
      <c r="J116" s="80"/>
      <c r="K116" s="80"/>
      <c r="L116" s="80"/>
      <c r="M116" s="80"/>
      <c r="N116" s="80"/>
      <c r="O116" s="80"/>
      <c r="P116" s="80"/>
      <c r="Q116" s="80"/>
      <c r="R116" s="80"/>
      <c r="S116" s="80"/>
      <c r="T116" s="81"/>
      <c r="U116" s="81"/>
      <c r="V116" s="81"/>
      <c r="W116" s="81"/>
      <c r="X116" s="81"/>
      <c r="Y116" s="81"/>
      <c r="Z116" s="82"/>
      <c r="AA116" s="15"/>
      <c r="AB116" s="15"/>
      <c r="AC116" s="15"/>
      <c r="AD116" s="15"/>
      <c r="AE116" s="15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</row>
    <row r="117" spans="1:43" s="8" customFormat="1" x14ac:dyDescent="0.2">
      <c r="A117" s="78"/>
      <c r="B117" s="78"/>
      <c r="C117" s="78"/>
      <c r="D117" s="78"/>
      <c r="E117" s="78"/>
      <c r="F117" s="78"/>
      <c r="G117" s="78"/>
      <c r="H117" s="80"/>
      <c r="I117" s="80"/>
      <c r="J117" s="80"/>
      <c r="K117" s="80"/>
      <c r="L117" s="80"/>
      <c r="M117" s="80"/>
      <c r="N117" s="80"/>
      <c r="O117" s="80"/>
      <c r="P117" s="80"/>
      <c r="Q117" s="80"/>
      <c r="R117" s="80"/>
      <c r="S117" s="80"/>
      <c r="T117" s="81"/>
      <c r="U117" s="81"/>
      <c r="V117" s="81"/>
      <c r="W117" s="81"/>
      <c r="X117" s="81"/>
      <c r="Y117" s="81"/>
      <c r="Z117" s="82"/>
      <c r="AA117" s="15"/>
      <c r="AB117" s="15"/>
      <c r="AC117" s="15"/>
      <c r="AD117" s="15"/>
      <c r="AE117" s="15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</row>
    <row r="118" spans="1:43" s="8" customFormat="1" x14ac:dyDescent="0.2">
      <c r="A118" s="78"/>
      <c r="B118" s="78"/>
      <c r="C118" s="78"/>
      <c r="D118" s="78"/>
      <c r="E118" s="78"/>
      <c r="F118" s="78"/>
      <c r="G118" s="78"/>
      <c r="H118" s="80"/>
      <c r="I118" s="80"/>
      <c r="J118" s="80"/>
      <c r="K118" s="80"/>
      <c r="L118" s="80"/>
      <c r="M118" s="80"/>
      <c r="N118" s="80"/>
      <c r="O118" s="80"/>
      <c r="P118" s="80"/>
      <c r="Q118" s="80"/>
      <c r="R118" s="80"/>
      <c r="S118" s="80"/>
      <c r="T118" s="81"/>
      <c r="U118" s="81"/>
      <c r="V118" s="81"/>
      <c r="W118" s="81"/>
      <c r="X118" s="81"/>
      <c r="Y118" s="81"/>
      <c r="Z118" s="82"/>
      <c r="AA118" s="15"/>
      <c r="AB118" s="15"/>
      <c r="AC118" s="15"/>
      <c r="AD118" s="15"/>
      <c r="AE118" s="15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</row>
    <row r="119" spans="1:43" s="8" customFormat="1" x14ac:dyDescent="0.2">
      <c r="A119" s="78"/>
      <c r="B119" s="78"/>
      <c r="C119" s="78"/>
      <c r="D119" s="78"/>
      <c r="E119" s="78"/>
      <c r="F119" s="78"/>
      <c r="G119" s="78"/>
      <c r="H119" s="80"/>
      <c r="I119" s="80"/>
      <c r="J119" s="80"/>
      <c r="K119" s="80"/>
      <c r="L119" s="80"/>
      <c r="M119" s="80"/>
      <c r="N119" s="80"/>
      <c r="O119" s="80"/>
      <c r="P119" s="80"/>
      <c r="Q119" s="80"/>
      <c r="R119" s="80"/>
      <c r="S119" s="80"/>
      <c r="T119" s="81"/>
      <c r="U119" s="81"/>
      <c r="V119" s="81"/>
      <c r="W119" s="81"/>
      <c r="X119" s="81"/>
      <c r="Y119" s="81"/>
      <c r="Z119" s="82"/>
      <c r="AA119" s="15"/>
      <c r="AB119" s="15"/>
      <c r="AC119" s="15"/>
      <c r="AD119" s="15"/>
      <c r="AE119" s="15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</row>
    <row r="120" spans="1:43" s="8" customFormat="1" x14ac:dyDescent="0.2">
      <c r="A120" s="78"/>
      <c r="B120" s="78"/>
      <c r="C120" s="78"/>
      <c r="D120" s="78"/>
      <c r="E120" s="78"/>
      <c r="F120" s="78"/>
      <c r="G120" s="78"/>
      <c r="H120" s="80"/>
      <c r="I120" s="80"/>
      <c r="J120" s="80"/>
      <c r="K120" s="80"/>
      <c r="L120" s="80"/>
      <c r="M120" s="80"/>
      <c r="N120" s="80"/>
      <c r="O120" s="80"/>
      <c r="P120" s="80"/>
      <c r="Q120" s="80"/>
      <c r="R120" s="80"/>
      <c r="S120" s="80"/>
      <c r="T120" s="81"/>
      <c r="U120" s="81"/>
      <c r="V120" s="81"/>
      <c r="W120" s="81"/>
      <c r="X120" s="81"/>
      <c r="Y120" s="81"/>
      <c r="Z120" s="82"/>
      <c r="AA120" s="15"/>
      <c r="AB120" s="15"/>
      <c r="AC120" s="15"/>
      <c r="AD120" s="15"/>
      <c r="AE120" s="15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</row>
    <row r="121" spans="1:43" s="8" customFormat="1" x14ac:dyDescent="0.2">
      <c r="A121" s="78"/>
      <c r="B121" s="78"/>
      <c r="C121" s="78"/>
      <c r="D121" s="78"/>
      <c r="E121" s="78"/>
      <c r="F121" s="78"/>
      <c r="G121" s="78"/>
      <c r="H121" s="80"/>
      <c r="I121" s="80"/>
      <c r="J121" s="80"/>
      <c r="K121" s="80"/>
      <c r="L121" s="80"/>
      <c r="M121" s="80"/>
      <c r="N121" s="80"/>
      <c r="O121" s="80"/>
      <c r="P121" s="80"/>
      <c r="Q121" s="80"/>
      <c r="R121" s="80"/>
      <c r="S121" s="80"/>
      <c r="T121" s="81"/>
      <c r="U121" s="81"/>
      <c r="V121" s="81"/>
      <c r="W121" s="81"/>
      <c r="X121" s="81"/>
      <c r="Y121" s="81"/>
      <c r="Z121" s="82"/>
      <c r="AA121" s="15"/>
      <c r="AB121" s="15"/>
      <c r="AC121" s="15"/>
      <c r="AD121" s="15"/>
      <c r="AE121" s="15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</row>
    <row r="122" spans="1:43" s="8" customFormat="1" x14ac:dyDescent="0.2">
      <c r="A122" s="78"/>
      <c r="B122" s="78"/>
      <c r="C122" s="78"/>
      <c r="D122" s="78"/>
      <c r="E122" s="78"/>
      <c r="F122" s="78"/>
      <c r="G122" s="78"/>
      <c r="H122" s="80"/>
      <c r="I122" s="80"/>
      <c r="J122" s="80"/>
      <c r="K122" s="80"/>
      <c r="L122" s="80"/>
      <c r="M122" s="80"/>
      <c r="N122" s="80"/>
      <c r="O122" s="80"/>
      <c r="P122" s="80"/>
      <c r="Q122" s="80"/>
      <c r="R122" s="80"/>
      <c r="S122" s="80"/>
      <c r="T122" s="81"/>
      <c r="U122" s="81"/>
      <c r="V122" s="81"/>
      <c r="W122" s="81"/>
      <c r="X122" s="81"/>
      <c r="Y122" s="81"/>
      <c r="Z122" s="82"/>
      <c r="AA122" s="15"/>
      <c r="AB122" s="15"/>
      <c r="AC122" s="15"/>
      <c r="AD122" s="15"/>
      <c r="AE122" s="15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</row>
    <row r="123" spans="1:43" s="8" customFormat="1" x14ac:dyDescent="0.2">
      <c r="A123" s="78"/>
      <c r="B123" s="78"/>
      <c r="C123" s="78"/>
      <c r="D123" s="78"/>
      <c r="E123" s="78"/>
      <c r="F123" s="78"/>
      <c r="G123" s="78"/>
      <c r="H123" s="80"/>
      <c r="I123" s="80"/>
      <c r="J123" s="80"/>
      <c r="K123" s="80"/>
      <c r="L123" s="80"/>
      <c r="M123" s="80"/>
      <c r="N123" s="80"/>
      <c r="O123" s="80"/>
      <c r="P123" s="80"/>
      <c r="Q123" s="80"/>
      <c r="R123" s="80"/>
      <c r="S123" s="80"/>
      <c r="T123" s="81"/>
      <c r="U123" s="81"/>
      <c r="V123" s="81"/>
      <c r="W123" s="81"/>
      <c r="X123" s="81"/>
      <c r="Y123" s="81"/>
      <c r="Z123" s="82"/>
      <c r="AA123" s="15"/>
      <c r="AB123" s="15"/>
      <c r="AC123" s="15"/>
      <c r="AD123" s="15"/>
      <c r="AE123" s="15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</row>
    <row r="124" spans="1:43" s="8" customFormat="1" x14ac:dyDescent="0.2">
      <c r="A124" s="78"/>
      <c r="B124" s="78"/>
      <c r="C124" s="78"/>
      <c r="D124" s="78"/>
      <c r="E124" s="78"/>
      <c r="F124" s="78"/>
      <c r="G124" s="78"/>
      <c r="H124" s="80"/>
      <c r="I124" s="80"/>
      <c r="J124" s="80"/>
      <c r="K124" s="80"/>
      <c r="L124" s="80"/>
      <c r="M124" s="80"/>
      <c r="N124" s="80"/>
      <c r="O124" s="80"/>
      <c r="P124" s="80"/>
      <c r="Q124" s="80"/>
      <c r="R124" s="80"/>
      <c r="S124" s="80"/>
      <c r="T124" s="81"/>
      <c r="U124" s="81"/>
      <c r="V124" s="81"/>
      <c r="W124" s="81"/>
      <c r="X124" s="81"/>
      <c r="Y124" s="81"/>
      <c r="Z124" s="82"/>
      <c r="AA124" s="15"/>
      <c r="AB124" s="15"/>
      <c r="AC124" s="15"/>
      <c r="AD124" s="15"/>
      <c r="AE124" s="15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</row>
    <row r="125" spans="1:43" s="8" customFormat="1" x14ac:dyDescent="0.2">
      <c r="A125" s="78"/>
      <c r="B125" s="78"/>
      <c r="C125" s="78"/>
      <c r="D125" s="78"/>
      <c r="E125" s="78"/>
      <c r="F125" s="78"/>
      <c r="G125" s="78"/>
      <c r="H125" s="80"/>
      <c r="I125" s="80"/>
      <c r="J125" s="80"/>
      <c r="K125" s="80"/>
      <c r="L125" s="80"/>
      <c r="M125" s="80"/>
      <c r="N125" s="80"/>
      <c r="O125" s="80"/>
      <c r="P125" s="80"/>
      <c r="Q125" s="80"/>
      <c r="R125" s="80"/>
      <c r="S125" s="80"/>
      <c r="T125" s="81"/>
      <c r="U125" s="81"/>
      <c r="V125" s="81"/>
      <c r="W125" s="81"/>
      <c r="X125" s="81"/>
      <c r="Y125" s="81"/>
      <c r="Z125" s="82"/>
      <c r="AA125" s="15"/>
      <c r="AB125" s="15"/>
      <c r="AC125" s="15"/>
      <c r="AD125" s="15"/>
      <c r="AE125" s="15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</row>
    <row r="126" spans="1:43" s="8" customFormat="1" x14ac:dyDescent="0.2">
      <c r="A126" s="78"/>
      <c r="B126" s="78"/>
      <c r="C126" s="78"/>
      <c r="D126" s="78"/>
      <c r="E126" s="78"/>
      <c r="F126" s="78"/>
      <c r="G126" s="78"/>
      <c r="H126" s="80"/>
      <c r="I126" s="80"/>
      <c r="J126" s="80"/>
      <c r="K126" s="80"/>
      <c r="L126" s="80"/>
      <c r="M126" s="80"/>
      <c r="N126" s="80"/>
      <c r="O126" s="80"/>
      <c r="P126" s="80"/>
      <c r="Q126" s="80"/>
      <c r="R126" s="80"/>
      <c r="S126" s="80"/>
      <c r="T126" s="81"/>
      <c r="U126" s="81"/>
      <c r="V126" s="81"/>
      <c r="W126" s="81"/>
      <c r="X126" s="81"/>
      <c r="Y126" s="81"/>
      <c r="Z126" s="82"/>
      <c r="AA126" s="15"/>
      <c r="AB126" s="15"/>
      <c r="AC126" s="15"/>
      <c r="AD126" s="15"/>
      <c r="AE126" s="15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</row>
    <row r="127" spans="1:43" s="8" customFormat="1" x14ac:dyDescent="0.2">
      <c r="A127" s="78"/>
      <c r="B127" s="78"/>
      <c r="C127" s="78"/>
      <c r="D127" s="78"/>
      <c r="E127" s="78"/>
      <c r="F127" s="78"/>
      <c r="G127" s="78"/>
      <c r="H127" s="80"/>
      <c r="I127" s="80"/>
      <c r="J127" s="80"/>
      <c r="K127" s="80"/>
      <c r="L127" s="80"/>
      <c r="M127" s="80"/>
      <c r="N127" s="80"/>
      <c r="O127" s="80"/>
      <c r="P127" s="80"/>
      <c r="Q127" s="80"/>
      <c r="R127" s="80"/>
      <c r="S127" s="80"/>
      <c r="T127" s="81"/>
      <c r="U127" s="81"/>
      <c r="V127" s="81"/>
      <c r="W127" s="81"/>
      <c r="X127" s="81"/>
      <c r="Y127" s="81"/>
      <c r="Z127" s="82"/>
      <c r="AA127" s="15"/>
      <c r="AB127" s="15"/>
      <c r="AC127" s="15"/>
      <c r="AD127" s="15"/>
      <c r="AE127" s="15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</row>
    <row r="128" spans="1:43" s="8" customFormat="1" x14ac:dyDescent="0.2">
      <c r="A128" s="78"/>
      <c r="B128" s="78"/>
      <c r="C128" s="78"/>
      <c r="D128" s="78"/>
      <c r="E128" s="78"/>
      <c r="F128" s="78"/>
      <c r="G128" s="78"/>
      <c r="H128" s="80"/>
      <c r="I128" s="80"/>
      <c r="J128" s="80"/>
      <c r="K128" s="80"/>
      <c r="L128" s="80"/>
      <c r="M128" s="80"/>
      <c r="N128" s="80"/>
      <c r="O128" s="80"/>
      <c r="P128" s="80"/>
      <c r="Q128" s="80"/>
      <c r="R128" s="80"/>
      <c r="S128" s="80"/>
      <c r="T128" s="81"/>
      <c r="U128" s="81"/>
      <c r="V128" s="81"/>
      <c r="W128" s="81"/>
      <c r="X128" s="81"/>
      <c r="Y128" s="81"/>
      <c r="Z128" s="82"/>
      <c r="AA128" s="15"/>
      <c r="AB128" s="15"/>
      <c r="AC128" s="15"/>
      <c r="AD128" s="15"/>
      <c r="AE128" s="15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</row>
    <row r="129" spans="1:43" s="8" customFormat="1" x14ac:dyDescent="0.2">
      <c r="A129" s="78"/>
      <c r="B129" s="78"/>
      <c r="C129" s="78"/>
      <c r="D129" s="78"/>
      <c r="E129" s="78"/>
      <c r="F129" s="78"/>
      <c r="G129" s="78"/>
      <c r="H129" s="80"/>
      <c r="I129" s="80"/>
      <c r="J129" s="80"/>
      <c r="K129" s="80"/>
      <c r="L129" s="80"/>
      <c r="M129" s="80"/>
      <c r="N129" s="80"/>
      <c r="O129" s="80"/>
      <c r="P129" s="80"/>
      <c r="Q129" s="80"/>
      <c r="R129" s="80"/>
      <c r="S129" s="80"/>
      <c r="T129" s="81"/>
      <c r="U129" s="81"/>
      <c r="V129" s="81"/>
      <c r="W129" s="81"/>
      <c r="X129" s="81"/>
      <c r="Y129" s="81"/>
      <c r="Z129" s="82"/>
      <c r="AA129" s="15"/>
      <c r="AB129" s="15"/>
      <c r="AC129" s="15"/>
      <c r="AD129" s="15"/>
      <c r="AE129" s="15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</row>
    <row r="130" spans="1:43" s="8" customFormat="1" x14ac:dyDescent="0.2">
      <c r="A130" s="78"/>
      <c r="B130" s="78"/>
      <c r="C130" s="78"/>
      <c r="D130" s="78"/>
      <c r="E130" s="78"/>
      <c r="F130" s="78"/>
      <c r="G130" s="78"/>
      <c r="H130" s="80"/>
      <c r="I130" s="80"/>
      <c r="J130" s="80"/>
      <c r="K130" s="80"/>
      <c r="L130" s="80"/>
      <c r="M130" s="80"/>
      <c r="N130" s="80"/>
      <c r="O130" s="80"/>
      <c r="P130" s="80"/>
      <c r="Q130" s="80"/>
      <c r="R130" s="80"/>
      <c r="S130" s="80"/>
      <c r="T130" s="81"/>
      <c r="U130" s="81"/>
      <c r="V130" s="81"/>
      <c r="W130" s="81"/>
      <c r="X130" s="81"/>
      <c r="Y130" s="81"/>
      <c r="Z130" s="82"/>
      <c r="AA130" s="15"/>
      <c r="AB130" s="15"/>
      <c r="AC130" s="15"/>
      <c r="AD130" s="15"/>
      <c r="AE130" s="15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</row>
    <row r="131" spans="1:43" s="8" customFormat="1" x14ac:dyDescent="0.2">
      <c r="A131" s="78"/>
      <c r="B131" s="78"/>
      <c r="C131" s="78"/>
      <c r="D131" s="78"/>
      <c r="E131" s="78"/>
      <c r="F131" s="78"/>
      <c r="G131" s="78"/>
      <c r="H131" s="80"/>
      <c r="I131" s="80"/>
      <c r="J131" s="80"/>
      <c r="K131" s="80"/>
      <c r="L131" s="80"/>
      <c r="M131" s="80"/>
      <c r="N131" s="80"/>
      <c r="O131" s="80"/>
      <c r="P131" s="80"/>
      <c r="Q131" s="80"/>
      <c r="R131" s="80"/>
      <c r="S131" s="80"/>
      <c r="T131" s="81"/>
      <c r="U131" s="81"/>
      <c r="V131" s="81"/>
      <c r="W131" s="81"/>
      <c r="X131" s="81"/>
      <c r="Y131" s="81"/>
      <c r="Z131" s="82"/>
      <c r="AA131" s="15"/>
      <c r="AB131" s="15"/>
      <c r="AC131" s="15"/>
      <c r="AD131" s="15"/>
      <c r="AE131" s="15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</row>
    <row r="132" spans="1:43" s="8" customFormat="1" x14ac:dyDescent="0.2">
      <c r="A132" s="78"/>
      <c r="B132" s="78"/>
      <c r="C132" s="78"/>
      <c r="D132" s="78"/>
      <c r="E132" s="78"/>
      <c r="F132" s="78"/>
      <c r="G132" s="78"/>
      <c r="H132" s="80"/>
      <c r="I132" s="80"/>
      <c r="J132" s="80"/>
      <c r="K132" s="80"/>
      <c r="L132" s="80"/>
      <c r="M132" s="80"/>
      <c r="N132" s="80"/>
      <c r="O132" s="80"/>
      <c r="P132" s="80"/>
      <c r="Q132" s="80"/>
      <c r="R132" s="80"/>
      <c r="S132" s="80"/>
      <c r="T132" s="81"/>
      <c r="U132" s="81"/>
      <c r="V132" s="81"/>
      <c r="W132" s="81"/>
      <c r="X132" s="81"/>
      <c r="Y132" s="81"/>
      <c r="Z132" s="82"/>
      <c r="AA132" s="15"/>
      <c r="AB132" s="15"/>
      <c r="AC132" s="15"/>
      <c r="AD132" s="15"/>
      <c r="AE132" s="15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</row>
    <row r="133" spans="1:43" s="8" customFormat="1" x14ac:dyDescent="0.2">
      <c r="A133" s="78"/>
      <c r="B133" s="78"/>
      <c r="C133" s="78"/>
      <c r="D133" s="78"/>
      <c r="E133" s="78"/>
      <c r="F133" s="78"/>
      <c r="G133" s="78"/>
      <c r="H133" s="80"/>
      <c r="I133" s="80"/>
      <c r="J133" s="80"/>
      <c r="K133" s="80"/>
      <c r="L133" s="80"/>
      <c r="M133" s="80"/>
      <c r="N133" s="80"/>
      <c r="O133" s="80"/>
      <c r="P133" s="80"/>
      <c r="Q133" s="80"/>
      <c r="R133" s="80"/>
      <c r="S133" s="80"/>
      <c r="T133" s="81"/>
      <c r="U133" s="81"/>
      <c r="V133" s="81"/>
      <c r="W133" s="81"/>
      <c r="X133" s="81"/>
      <c r="Y133" s="81"/>
      <c r="Z133" s="82"/>
      <c r="AA133" s="15"/>
      <c r="AB133" s="15"/>
      <c r="AC133" s="15"/>
      <c r="AD133" s="15"/>
      <c r="AE133" s="15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</row>
    <row r="134" spans="1:43" s="8" customFormat="1" x14ac:dyDescent="0.2">
      <c r="A134" s="78"/>
      <c r="B134" s="78"/>
      <c r="C134" s="78"/>
      <c r="D134" s="78"/>
      <c r="E134" s="78"/>
      <c r="F134" s="78"/>
      <c r="G134" s="78"/>
      <c r="H134" s="80"/>
      <c r="I134" s="80"/>
      <c r="J134" s="80"/>
      <c r="K134" s="80"/>
      <c r="L134" s="80"/>
      <c r="M134" s="80"/>
      <c r="N134" s="80"/>
      <c r="O134" s="80"/>
      <c r="P134" s="80"/>
      <c r="Q134" s="80"/>
      <c r="R134" s="80"/>
      <c r="S134" s="80"/>
      <c r="T134" s="81"/>
      <c r="U134" s="81"/>
      <c r="V134" s="81"/>
      <c r="W134" s="81"/>
      <c r="X134" s="81"/>
      <c r="Y134" s="81"/>
      <c r="Z134" s="82"/>
      <c r="AA134" s="15"/>
      <c r="AB134" s="15"/>
      <c r="AC134" s="15"/>
      <c r="AD134" s="15"/>
      <c r="AE134" s="15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</row>
    <row r="135" spans="1:43" s="8" customFormat="1" x14ac:dyDescent="0.2">
      <c r="A135" s="78"/>
      <c r="B135" s="78"/>
      <c r="C135" s="78"/>
      <c r="D135" s="78"/>
      <c r="E135" s="78"/>
      <c r="F135" s="78"/>
      <c r="G135" s="78"/>
      <c r="H135" s="80"/>
      <c r="I135" s="80"/>
      <c r="J135" s="80"/>
      <c r="K135" s="80"/>
      <c r="L135" s="80"/>
      <c r="M135" s="80"/>
      <c r="N135" s="80"/>
      <c r="O135" s="80"/>
      <c r="P135" s="80"/>
      <c r="Q135" s="80"/>
      <c r="R135" s="80"/>
      <c r="S135" s="80"/>
      <c r="T135" s="81"/>
      <c r="U135" s="81"/>
      <c r="V135" s="81"/>
      <c r="W135" s="81"/>
      <c r="X135" s="81"/>
      <c r="Y135" s="81"/>
      <c r="Z135" s="82"/>
      <c r="AA135" s="15"/>
      <c r="AB135" s="15"/>
      <c r="AC135" s="15"/>
      <c r="AD135" s="15"/>
      <c r="AE135" s="15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</row>
    <row r="136" spans="1:43" s="8" customFormat="1" x14ac:dyDescent="0.2">
      <c r="A136" s="78"/>
      <c r="B136" s="78"/>
      <c r="C136" s="78"/>
      <c r="D136" s="78"/>
      <c r="E136" s="78"/>
      <c r="F136" s="78"/>
      <c r="G136" s="78"/>
      <c r="H136" s="80"/>
      <c r="I136" s="80"/>
      <c r="J136" s="80"/>
      <c r="K136" s="80"/>
      <c r="L136" s="80"/>
      <c r="M136" s="80"/>
      <c r="N136" s="80"/>
      <c r="O136" s="80"/>
      <c r="P136" s="80"/>
      <c r="Q136" s="80"/>
      <c r="R136" s="80"/>
      <c r="S136" s="80"/>
      <c r="T136" s="81"/>
      <c r="U136" s="81"/>
      <c r="V136" s="81"/>
      <c r="W136" s="81"/>
      <c r="X136" s="81"/>
      <c r="Y136" s="81"/>
      <c r="Z136" s="82"/>
      <c r="AA136" s="15"/>
      <c r="AB136" s="15"/>
      <c r="AC136" s="15"/>
      <c r="AD136" s="15"/>
      <c r="AE136" s="15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</row>
    <row r="137" spans="1:43" s="8" customFormat="1" x14ac:dyDescent="0.2">
      <c r="A137" s="78"/>
      <c r="B137" s="78"/>
      <c r="C137" s="78"/>
      <c r="D137" s="78"/>
      <c r="E137" s="78"/>
      <c r="F137" s="78"/>
      <c r="G137" s="78"/>
      <c r="H137" s="80"/>
      <c r="I137" s="80"/>
      <c r="J137" s="80"/>
      <c r="K137" s="80"/>
      <c r="L137" s="80"/>
      <c r="M137" s="80"/>
      <c r="N137" s="80"/>
      <c r="O137" s="80"/>
      <c r="P137" s="80"/>
      <c r="Q137" s="80"/>
      <c r="R137" s="80"/>
      <c r="S137" s="80"/>
      <c r="T137" s="81"/>
      <c r="U137" s="81"/>
      <c r="V137" s="81"/>
      <c r="W137" s="81"/>
      <c r="X137" s="81"/>
      <c r="Y137" s="81"/>
      <c r="Z137" s="82"/>
      <c r="AA137" s="15"/>
      <c r="AB137" s="15"/>
      <c r="AC137" s="15"/>
      <c r="AD137" s="15"/>
      <c r="AE137" s="15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</row>
    <row r="138" spans="1:43" s="8" customFormat="1" x14ac:dyDescent="0.2">
      <c r="A138" s="78"/>
      <c r="B138" s="78"/>
      <c r="C138" s="78"/>
      <c r="D138" s="78"/>
      <c r="E138" s="78"/>
      <c r="F138" s="78"/>
      <c r="G138" s="78"/>
      <c r="H138" s="80"/>
      <c r="I138" s="80"/>
      <c r="J138" s="80"/>
      <c r="K138" s="80"/>
      <c r="L138" s="80"/>
      <c r="M138" s="80"/>
      <c r="N138" s="80"/>
      <c r="O138" s="80"/>
      <c r="P138" s="80"/>
      <c r="Q138" s="80"/>
      <c r="R138" s="80"/>
      <c r="S138" s="80"/>
      <c r="T138" s="81"/>
      <c r="U138" s="81"/>
      <c r="V138" s="81"/>
      <c r="W138" s="81"/>
      <c r="X138" s="81"/>
      <c r="Y138" s="81"/>
      <c r="Z138" s="82"/>
      <c r="AA138" s="15"/>
      <c r="AB138" s="15"/>
      <c r="AC138" s="15"/>
      <c r="AD138" s="15"/>
      <c r="AE138" s="15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</row>
    <row r="139" spans="1:43" s="8" customFormat="1" x14ac:dyDescent="0.2">
      <c r="A139" s="78"/>
      <c r="B139" s="78"/>
      <c r="C139" s="78"/>
      <c r="D139" s="78"/>
      <c r="E139" s="78"/>
      <c r="F139" s="78"/>
      <c r="G139" s="78"/>
      <c r="H139" s="80"/>
      <c r="I139" s="80"/>
      <c r="J139" s="80"/>
      <c r="K139" s="80"/>
      <c r="L139" s="80"/>
      <c r="M139" s="80"/>
      <c r="N139" s="80"/>
      <c r="O139" s="80"/>
      <c r="P139" s="80"/>
      <c r="Q139" s="80"/>
      <c r="R139" s="80"/>
      <c r="S139" s="80"/>
      <c r="T139" s="81"/>
      <c r="U139" s="81"/>
      <c r="V139" s="81"/>
      <c r="W139" s="81"/>
      <c r="X139" s="81"/>
      <c r="Y139" s="81"/>
      <c r="Z139" s="82"/>
      <c r="AA139" s="15"/>
      <c r="AB139" s="15"/>
      <c r="AC139" s="15"/>
      <c r="AD139" s="15"/>
      <c r="AE139" s="15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</row>
    <row r="140" spans="1:43" s="8" customFormat="1" x14ac:dyDescent="0.2">
      <c r="A140" s="78"/>
      <c r="B140" s="78"/>
      <c r="C140" s="78"/>
      <c r="D140" s="78"/>
      <c r="E140" s="78"/>
      <c r="F140" s="78"/>
      <c r="G140" s="78"/>
      <c r="H140" s="80"/>
      <c r="I140" s="80"/>
      <c r="J140" s="80"/>
      <c r="K140" s="80"/>
      <c r="L140" s="80"/>
      <c r="M140" s="80"/>
      <c r="N140" s="80"/>
      <c r="O140" s="80"/>
      <c r="P140" s="80"/>
      <c r="Q140" s="80"/>
      <c r="R140" s="80"/>
      <c r="S140" s="80"/>
      <c r="T140" s="81"/>
      <c r="U140" s="81"/>
      <c r="V140" s="81"/>
      <c r="W140" s="81"/>
      <c r="X140" s="81"/>
      <c r="Y140" s="81"/>
      <c r="Z140" s="82"/>
      <c r="AA140" s="15"/>
      <c r="AB140" s="15"/>
      <c r="AC140" s="15"/>
      <c r="AD140" s="15"/>
      <c r="AE140" s="15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</row>
    <row r="141" spans="1:43" s="8" customFormat="1" x14ac:dyDescent="0.2">
      <c r="A141" s="78"/>
      <c r="B141" s="78"/>
      <c r="C141" s="78"/>
      <c r="D141" s="78"/>
      <c r="E141" s="78"/>
      <c r="F141" s="78"/>
      <c r="G141" s="78"/>
      <c r="H141" s="80"/>
      <c r="I141" s="80"/>
      <c r="J141" s="80"/>
      <c r="K141" s="80"/>
      <c r="L141" s="80"/>
      <c r="M141" s="80"/>
      <c r="N141" s="80"/>
      <c r="O141" s="80"/>
      <c r="P141" s="80"/>
      <c r="Q141" s="80"/>
      <c r="R141" s="80"/>
      <c r="S141" s="80"/>
      <c r="T141" s="81"/>
      <c r="U141" s="81"/>
      <c r="V141" s="81"/>
      <c r="W141" s="81"/>
      <c r="X141" s="81"/>
      <c r="Y141" s="81"/>
      <c r="Z141" s="82"/>
      <c r="AA141" s="15"/>
      <c r="AB141" s="15"/>
      <c r="AC141" s="15"/>
      <c r="AD141" s="15"/>
      <c r="AE141" s="15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</row>
    <row r="142" spans="1:43" s="8" customFormat="1" x14ac:dyDescent="0.2">
      <c r="A142" s="78"/>
      <c r="B142" s="78"/>
      <c r="C142" s="78"/>
      <c r="D142" s="78"/>
      <c r="E142" s="78"/>
      <c r="F142" s="78"/>
      <c r="G142" s="78"/>
      <c r="H142" s="80"/>
      <c r="I142" s="80"/>
      <c r="J142" s="80"/>
      <c r="K142" s="80"/>
      <c r="L142" s="80"/>
      <c r="M142" s="80"/>
      <c r="N142" s="80"/>
      <c r="O142" s="80"/>
      <c r="P142" s="80"/>
      <c r="Q142" s="80"/>
      <c r="R142" s="80"/>
      <c r="S142" s="80"/>
      <c r="T142" s="81"/>
      <c r="U142" s="81"/>
      <c r="V142" s="81"/>
      <c r="W142" s="81"/>
      <c r="X142" s="81"/>
      <c r="Y142" s="81"/>
      <c r="Z142" s="82"/>
      <c r="AA142" s="15"/>
      <c r="AB142" s="15"/>
      <c r="AC142" s="15"/>
      <c r="AD142" s="15"/>
      <c r="AE142" s="15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</row>
    <row r="143" spans="1:43" s="8" customFormat="1" x14ac:dyDescent="0.2">
      <c r="A143" s="78"/>
      <c r="B143" s="78"/>
      <c r="C143" s="78"/>
      <c r="D143" s="78"/>
      <c r="E143" s="78"/>
      <c r="F143" s="78"/>
      <c r="G143" s="78"/>
      <c r="H143" s="80"/>
      <c r="I143" s="80"/>
      <c r="J143" s="80"/>
      <c r="K143" s="80"/>
      <c r="L143" s="80"/>
      <c r="M143" s="80"/>
      <c r="N143" s="80"/>
      <c r="O143" s="80"/>
      <c r="P143" s="80"/>
      <c r="Q143" s="80"/>
      <c r="R143" s="80"/>
      <c r="S143" s="80"/>
      <c r="T143" s="81"/>
      <c r="U143" s="81"/>
      <c r="V143" s="81"/>
      <c r="W143" s="81"/>
      <c r="X143" s="81"/>
      <c r="Y143" s="81"/>
      <c r="Z143" s="82"/>
      <c r="AA143" s="15"/>
      <c r="AB143" s="15"/>
      <c r="AC143" s="15"/>
      <c r="AD143" s="15"/>
      <c r="AE143" s="15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</row>
    <row r="144" spans="1:43" s="8" customFormat="1" x14ac:dyDescent="0.2">
      <c r="A144" s="78"/>
      <c r="B144" s="78"/>
      <c r="C144" s="78"/>
      <c r="D144" s="78"/>
      <c r="E144" s="78"/>
      <c r="F144" s="78"/>
      <c r="G144" s="78"/>
      <c r="H144" s="80"/>
      <c r="I144" s="80"/>
      <c r="J144" s="80"/>
      <c r="K144" s="80"/>
      <c r="L144" s="80"/>
      <c r="M144" s="80"/>
      <c r="N144" s="80"/>
      <c r="O144" s="80"/>
      <c r="P144" s="80"/>
      <c r="Q144" s="80"/>
      <c r="R144" s="80"/>
      <c r="S144" s="80"/>
      <c r="T144" s="81"/>
      <c r="U144" s="81"/>
      <c r="V144" s="81"/>
      <c r="W144" s="81"/>
      <c r="X144" s="81"/>
      <c r="Y144" s="81"/>
      <c r="Z144" s="82"/>
      <c r="AA144" s="15"/>
      <c r="AB144" s="15"/>
      <c r="AC144" s="15"/>
      <c r="AD144" s="15"/>
      <c r="AE144" s="15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</row>
    <row r="145" spans="1:43" s="8" customFormat="1" x14ac:dyDescent="0.2">
      <c r="A145" s="78"/>
      <c r="B145" s="78"/>
      <c r="C145" s="78"/>
      <c r="D145" s="78"/>
      <c r="E145" s="78"/>
      <c r="F145" s="78"/>
      <c r="G145" s="78"/>
      <c r="H145" s="80"/>
      <c r="I145" s="80"/>
      <c r="J145" s="80"/>
      <c r="K145" s="80"/>
      <c r="L145" s="80"/>
      <c r="M145" s="80"/>
      <c r="N145" s="80"/>
      <c r="O145" s="80"/>
      <c r="P145" s="80"/>
      <c r="Q145" s="80"/>
      <c r="R145" s="80"/>
      <c r="S145" s="80"/>
      <c r="T145" s="81"/>
      <c r="U145" s="81"/>
      <c r="V145" s="81"/>
      <c r="W145" s="81"/>
      <c r="X145" s="81"/>
      <c r="Y145" s="81"/>
      <c r="Z145" s="82"/>
      <c r="AA145" s="15"/>
      <c r="AB145" s="15"/>
      <c r="AC145" s="15"/>
      <c r="AD145" s="15"/>
      <c r="AE145" s="15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</row>
    <row r="146" spans="1:43" s="8" customFormat="1" x14ac:dyDescent="0.2">
      <c r="A146" s="78"/>
      <c r="B146" s="78"/>
      <c r="C146" s="78"/>
      <c r="D146" s="78"/>
      <c r="E146" s="78"/>
      <c r="F146" s="78"/>
      <c r="G146" s="78"/>
      <c r="H146" s="80"/>
      <c r="I146" s="80"/>
      <c r="J146" s="80"/>
      <c r="K146" s="80"/>
      <c r="L146" s="80"/>
      <c r="M146" s="80"/>
      <c r="N146" s="80"/>
      <c r="O146" s="80"/>
      <c r="P146" s="80"/>
      <c r="Q146" s="80"/>
      <c r="R146" s="80"/>
      <c r="S146" s="80"/>
      <c r="T146" s="81"/>
      <c r="U146" s="81"/>
      <c r="V146" s="81"/>
      <c r="W146" s="81"/>
      <c r="X146" s="81"/>
      <c r="Y146" s="81"/>
      <c r="Z146" s="82"/>
      <c r="AA146" s="15"/>
      <c r="AB146" s="15"/>
      <c r="AC146" s="15"/>
      <c r="AD146" s="15"/>
      <c r="AE146" s="15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</row>
    <row r="147" spans="1:43" s="8" customFormat="1" x14ac:dyDescent="0.2">
      <c r="A147" s="78"/>
      <c r="B147" s="78"/>
      <c r="C147" s="78"/>
      <c r="D147" s="78"/>
      <c r="E147" s="78"/>
      <c r="F147" s="78"/>
      <c r="G147" s="78"/>
      <c r="H147" s="80"/>
      <c r="I147" s="80"/>
      <c r="J147" s="80"/>
      <c r="K147" s="80"/>
      <c r="L147" s="80"/>
      <c r="M147" s="80"/>
      <c r="N147" s="80"/>
      <c r="O147" s="80"/>
      <c r="P147" s="80"/>
      <c r="Q147" s="80"/>
      <c r="R147" s="80"/>
      <c r="S147" s="80"/>
      <c r="T147" s="81"/>
      <c r="U147" s="81"/>
      <c r="V147" s="81"/>
      <c r="W147" s="81"/>
      <c r="X147" s="81"/>
      <c r="Y147" s="81"/>
      <c r="Z147" s="82"/>
      <c r="AA147" s="15"/>
      <c r="AB147" s="15"/>
      <c r="AC147" s="15"/>
      <c r="AD147" s="15"/>
      <c r="AE147" s="15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</row>
    <row r="148" spans="1:43" s="8" customFormat="1" x14ac:dyDescent="0.2">
      <c r="A148" s="78"/>
      <c r="B148" s="78"/>
      <c r="C148" s="78"/>
      <c r="D148" s="78"/>
      <c r="E148" s="78"/>
      <c r="F148" s="78"/>
      <c r="G148" s="78"/>
      <c r="H148" s="80"/>
      <c r="I148" s="80"/>
      <c r="J148" s="80"/>
      <c r="K148" s="80"/>
      <c r="L148" s="80"/>
      <c r="M148" s="80"/>
      <c r="N148" s="80"/>
      <c r="O148" s="80"/>
      <c r="P148" s="80"/>
      <c r="Q148" s="80"/>
      <c r="R148" s="80"/>
      <c r="S148" s="80"/>
      <c r="T148" s="81"/>
      <c r="U148" s="81"/>
      <c r="V148" s="81"/>
      <c r="W148" s="81"/>
      <c r="X148" s="81"/>
      <c r="Y148" s="81"/>
      <c r="Z148" s="82"/>
      <c r="AA148" s="15"/>
      <c r="AB148" s="15"/>
      <c r="AC148" s="15"/>
      <c r="AD148" s="15"/>
      <c r="AE148" s="15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</row>
    <row r="149" spans="1:43" s="8" customFormat="1" x14ac:dyDescent="0.2">
      <c r="A149" s="78"/>
      <c r="B149" s="78"/>
      <c r="C149" s="78"/>
      <c r="D149" s="78"/>
      <c r="E149" s="78"/>
      <c r="F149" s="78"/>
      <c r="G149" s="78"/>
      <c r="H149" s="80"/>
      <c r="I149" s="80"/>
      <c r="J149" s="80"/>
      <c r="K149" s="80"/>
      <c r="L149" s="80"/>
      <c r="M149" s="80"/>
      <c r="N149" s="80"/>
      <c r="O149" s="80"/>
      <c r="P149" s="80"/>
      <c r="Q149" s="80"/>
      <c r="R149" s="80"/>
      <c r="S149" s="80"/>
      <c r="T149" s="81"/>
      <c r="U149" s="81"/>
      <c r="V149" s="81"/>
      <c r="W149" s="81"/>
      <c r="X149" s="81"/>
      <c r="Y149" s="81"/>
      <c r="Z149" s="82"/>
      <c r="AA149" s="15"/>
      <c r="AB149" s="15"/>
      <c r="AC149" s="15"/>
      <c r="AD149" s="15"/>
      <c r="AE149" s="15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</row>
    <row r="150" spans="1:43" s="8" customFormat="1" x14ac:dyDescent="0.2">
      <c r="A150" s="78"/>
      <c r="B150" s="78"/>
      <c r="C150" s="78"/>
      <c r="D150" s="78"/>
      <c r="E150" s="78"/>
      <c r="F150" s="78"/>
      <c r="G150" s="78"/>
      <c r="H150" s="80"/>
      <c r="I150" s="80"/>
      <c r="J150" s="80"/>
      <c r="K150" s="80"/>
      <c r="L150" s="80"/>
      <c r="M150" s="80"/>
      <c r="N150" s="80"/>
      <c r="O150" s="80"/>
      <c r="P150" s="80"/>
      <c r="Q150" s="80"/>
      <c r="R150" s="80"/>
      <c r="S150" s="80"/>
      <c r="T150" s="81"/>
      <c r="U150" s="81"/>
      <c r="V150" s="81"/>
      <c r="W150" s="81"/>
      <c r="X150" s="81"/>
      <c r="Y150" s="81"/>
      <c r="Z150" s="82"/>
      <c r="AA150" s="15"/>
      <c r="AB150" s="15"/>
      <c r="AC150" s="15"/>
      <c r="AD150" s="15"/>
      <c r="AE150" s="15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</row>
    <row r="151" spans="1:43" s="8" customFormat="1" x14ac:dyDescent="0.2">
      <c r="A151" s="78"/>
      <c r="B151" s="78"/>
      <c r="C151" s="78"/>
      <c r="D151" s="78"/>
      <c r="E151" s="78"/>
      <c r="F151" s="78"/>
      <c r="G151" s="78"/>
      <c r="H151" s="80"/>
      <c r="I151" s="80"/>
      <c r="J151" s="80"/>
      <c r="K151" s="80"/>
      <c r="L151" s="80"/>
      <c r="M151" s="80"/>
      <c r="N151" s="80"/>
      <c r="O151" s="80"/>
      <c r="P151" s="80"/>
      <c r="Q151" s="80"/>
      <c r="R151" s="80"/>
      <c r="S151" s="80"/>
      <c r="T151" s="81"/>
      <c r="U151" s="81"/>
      <c r="V151" s="81"/>
      <c r="W151" s="81"/>
      <c r="X151" s="81"/>
      <c r="Y151" s="81"/>
      <c r="Z151" s="82"/>
      <c r="AA151" s="15"/>
      <c r="AB151" s="15"/>
      <c r="AC151" s="15"/>
      <c r="AD151" s="15"/>
      <c r="AE151" s="15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</row>
    <row r="152" spans="1:43" s="8" customFormat="1" x14ac:dyDescent="0.2">
      <c r="A152" s="78"/>
      <c r="B152" s="78"/>
      <c r="C152" s="78"/>
      <c r="D152" s="78"/>
      <c r="E152" s="78"/>
      <c r="F152" s="78"/>
      <c r="G152" s="78"/>
      <c r="H152" s="80"/>
      <c r="I152" s="80"/>
      <c r="J152" s="80"/>
      <c r="K152" s="80"/>
      <c r="L152" s="80"/>
      <c r="M152" s="80"/>
      <c r="N152" s="80"/>
      <c r="O152" s="80"/>
      <c r="P152" s="80"/>
      <c r="Q152" s="80"/>
      <c r="R152" s="80"/>
      <c r="S152" s="80"/>
      <c r="T152" s="81"/>
      <c r="U152" s="81"/>
      <c r="V152" s="81"/>
      <c r="W152" s="81"/>
      <c r="X152" s="81"/>
      <c r="Y152" s="81"/>
      <c r="Z152" s="82"/>
      <c r="AA152" s="15"/>
      <c r="AB152" s="15"/>
      <c r="AC152" s="15"/>
      <c r="AD152" s="15"/>
      <c r="AE152" s="15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</row>
    <row r="153" spans="1:43" s="8" customFormat="1" x14ac:dyDescent="0.2">
      <c r="A153" s="78"/>
      <c r="B153" s="78"/>
      <c r="C153" s="78"/>
      <c r="D153" s="78"/>
      <c r="E153" s="78"/>
      <c r="F153" s="78"/>
      <c r="G153" s="78"/>
      <c r="H153" s="80"/>
      <c r="I153" s="80"/>
      <c r="J153" s="80"/>
      <c r="K153" s="80"/>
      <c r="L153" s="80"/>
      <c r="M153" s="80"/>
      <c r="N153" s="80"/>
      <c r="O153" s="80"/>
      <c r="P153" s="80"/>
      <c r="Q153" s="80"/>
      <c r="R153" s="80"/>
      <c r="S153" s="80"/>
      <c r="T153" s="81"/>
      <c r="U153" s="81"/>
      <c r="V153" s="81"/>
      <c r="W153" s="81"/>
      <c r="X153" s="81"/>
      <c r="Y153" s="81"/>
      <c r="Z153" s="82"/>
      <c r="AA153" s="15"/>
      <c r="AB153" s="15"/>
      <c r="AC153" s="15"/>
      <c r="AD153" s="15"/>
      <c r="AE153" s="15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</row>
    <row r="154" spans="1:43" s="8" customFormat="1" x14ac:dyDescent="0.2">
      <c r="A154" s="78"/>
      <c r="B154" s="78"/>
      <c r="C154" s="78"/>
      <c r="D154" s="78"/>
      <c r="E154" s="78"/>
      <c r="F154" s="78"/>
      <c r="G154" s="78"/>
      <c r="H154" s="80"/>
      <c r="I154" s="80"/>
      <c r="J154" s="80"/>
      <c r="K154" s="80"/>
      <c r="L154" s="80"/>
      <c r="M154" s="80"/>
      <c r="N154" s="80"/>
      <c r="O154" s="80"/>
      <c r="P154" s="80"/>
      <c r="Q154" s="80"/>
      <c r="R154" s="80"/>
      <c r="S154" s="80"/>
      <c r="T154" s="81"/>
      <c r="U154" s="81"/>
      <c r="V154" s="81"/>
      <c r="W154" s="81"/>
      <c r="X154" s="81"/>
      <c r="Y154" s="81"/>
      <c r="Z154" s="82"/>
      <c r="AA154" s="15"/>
      <c r="AB154" s="15"/>
      <c r="AC154" s="15"/>
      <c r="AD154" s="15"/>
      <c r="AE154" s="15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</row>
    <row r="155" spans="1:43" s="8" customFormat="1" x14ac:dyDescent="0.2">
      <c r="A155" s="78"/>
      <c r="B155" s="78"/>
      <c r="C155" s="78"/>
      <c r="D155" s="78"/>
      <c r="E155" s="78"/>
      <c r="F155" s="78"/>
      <c r="G155" s="78"/>
      <c r="H155" s="80"/>
      <c r="I155" s="80"/>
      <c r="J155" s="80"/>
      <c r="K155" s="80"/>
      <c r="L155" s="80"/>
      <c r="M155" s="80"/>
      <c r="N155" s="80"/>
      <c r="O155" s="80"/>
      <c r="P155" s="80"/>
      <c r="Q155" s="80"/>
      <c r="R155" s="80"/>
      <c r="S155" s="80"/>
      <c r="T155" s="81"/>
      <c r="U155" s="81"/>
      <c r="V155" s="81"/>
      <c r="W155" s="81"/>
      <c r="X155" s="81"/>
      <c r="Y155" s="81"/>
      <c r="Z155" s="82"/>
      <c r="AA155" s="15"/>
      <c r="AB155" s="15"/>
      <c r="AC155" s="15"/>
      <c r="AD155" s="15"/>
      <c r="AE155" s="15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</row>
    <row r="156" spans="1:43" s="8" customFormat="1" x14ac:dyDescent="0.2">
      <c r="A156" s="78"/>
      <c r="B156" s="78"/>
      <c r="C156" s="78"/>
      <c r="D156" s="78"/>
      <c r="E156" s="78"/>
      <c r="F156" s="78"/>
      <c r="G156" s="78"/>
      <c r="H156" s="80"/>
      <c r="I156" s="80"/>
      <c r="J156" s="80"/>
      <c r="K156" s="80"/>
      <c r="L156" s="80"/>
      <c r="M156" s="80"/>
      <c r="N156" s="80"/>
      <c r="O156" s="80"/>
      <c r="P156" s="80"/>
      <c r="Q156" s="80"/>
      <c r="R156" s="80"/>
      <c r="S156" s="80"/>
      <c r="T156" s="81"/>
      <c r="U156" s="81"/>
      <c r="V156" s="81"/>
      <c r="W156" s="81"/>
      <c r="X156" s="81"/>
      <c r="Y156" s="81"/>
      <c r="Z156" s="82"/>
      <c r="AA156" s="15"/>
      <c r="AB156" s="15"/>
      <c r="AC156" s="15"/>
      <c r="AD156" s="15"/>
      <c r="AE156" s="15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</row>
    <row r="157" spans="1:43" s="8" customFormat="1" x14ac:dyDescent="0.2">
      <c r="A157" s="78"/>
      <c r="B157" s="78"/>
      <c r="C157" s="78"/>
      <c r="D157" s="78"/>
      <c r="E157" s="78"/>
      <c r="F157" s="78"/>
      <c r="G157" s="78"/>
      <c r="H157" s="80"/>
      <c r="I157" s="80"/>
      <c r="J157" s="80"/>
      <c r="K157" s="80"/>
      <c r="L157" s="80"/>
      <c r="M157" s="80"/>
      <c r="N157" s="80"/>
      <c r="O157" s="80"/>
      <c r="P157" s="80"/>
      <c r="Q157" s="80"/>
      <c r="R157" s="80"/>
      <c r="S157" s="80"/>
      <c r="T157" s="81"/>
      <c r="U157" s="81"/>
      <c r="V157" s="81"/>
      <c r="W157" s="81"/>
      <c r="X157" s="81"/>
      <c r="Y157" s="81"/>
      <c r="Z157" s="82"/>
      <c r="AA157" s="15"/>
      <c r="AB157" s="15"/>
      <c r="AC157" s="15"/>
      <c r="AD157" s="15"/>
      <c r="AE157" s="15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</row>
    <row r="158" spans="1:43" s="8" customFormat="1" x14ac:dyDescent="0.2">
      <c r="A158" s="78"/>
      <c r="B158" s="78"/>
      <c r="C158" s="78"/>
      <c r="D158" s="78"/>
      <c r="E158" s="78"/>
      <c r="F158" s="78"/>
      <c r="G158" s="78"/>
      <c r="H158" s="80"/>
      <c r="I158" s="80"/>
      <c r="J158" s="80"/>
      <c r="K158" s="80"/>
      <c r="L158" s="80"/>
      <c r="M158" s="80"/>
      <c r="N158" s="80"/>
      <c r="O158" s="80"/>
      <c r="P158" s="80"/>
      <c r="Q158" s="80"/>
      <c r="R158" s="80"/>
      <c r="S158" s="80"/>
      <c r="T158" s="81"/>
      <c r="U158" s="81"/>
      <c r="V158" s="81"/>
      <c r="W158" s="81"/>
      <c r="X158" s="81"/>
      <c r="Y158" s="81"/>
      <c r="Z158" s="82"/>
      <c r="AA158" s="15"/>
      <c r="AB158" s="15"/>
      <c r="AC158" s="15"/>
      <c r="AD158" s="15"/>
      <c r="AE158" s="15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</row>
    <row r="159" spans="1:43" s="8" customFormat="1" x14ac:dyDescent="0.2">
      <c r="A159" s="78"/>
      <c r="B159" s="78"/>
      <c r="C159" s="78"/>
      <c r="D159" s="78"/>
      <c r="E159" s="78"/>
      <c r="F159" s="78"/>
      <c r="G159" s="78"/>
      <c r="H159" s="80"/>
      <c r="I159" s="80"/>
      <c r="J159" s="80"/>
      <c r="K159" s="80"/>
      <c r="L159" s="80"/>
      <c r="M159" s="80"/>
      <c r="N159" s="80"/>
      <c r="O159" s="80"/>
      <c r="P159" s="80"/>
      <c r="Q159" s="80"/>
      <c r="R159" s="80"/>
      <c r="S159" s="80"/>
      <c r="T159" s="81"/>
      <c r="U159" s="81"/>
      <c r="V159" s="81"/>
      <c r="W159" s="81"/>
      <c r="X159" s="81"/>
      <c r="Y159" s="81"/>
      <c r="Z159" s="82"/>
      <c r="AA159" s="15"/>
      <c r="AB159" s="15"/>
      <c r="AC159" s="15"/>
      <c r="AD159" s="15"/>
      <c r="AE159" s="15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</row>
    <row r="160" spans="1:43" s="8" customFormat="1" x14ac:dyDescent="0.2">
      <c r="A160" s="78"/>
      <c r="B160" s="78"/>
      <c r="C160" s="78"/>
      <c r="D160" s="78"/>
      <c r="E160" s="78"/>
      <c r="F160" s="78"/>
      <c r="G160" s="78"/>
      <c r="H160" s="80"/>
      <c r="I160" s="80"/>
      <c r="J160" s="80"/>
      <c r="K160" s="80"/>
      <c r="L160" s="80"/>
      <c r="M160" s="80"/>
      <c r="N160" s="80"/>
      <c r="O160" s="80"/>
      <c r="P160" s="80"/>
      <c r="Q160" s="80"/>
      <c r="R160" s="80"/>
      <c r="S160" s="80"/>
      <c r="T160" s="81"/>
      <c r="U160" s="81"/>
      <c r="V160" s="81"/>
      <c r="W160" s="81"/>
      <c r="X160" s="81"/>
      <c r="Y160" s="81"/>
      <c r="Z160" s="82"/>
      <c r="AA160" s="15"/>
      <c r="AB160" s="15"/>
      <c r="AC160" s="15"/>
      <c r="AD160" s="15"/>
      <c r="AE160" s="15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</row>
    <row r="161" spans="1:43" s="8" customFormat="1" x14ac:dyDescent="0.2">
      <c r="A161" s="78"/>
      <c r="B161" s="78"/>
      <c r="C161" s="78"/>
      <c r="D161" s="78"/>
      <c r="E161" s="78"/>
      <c r="F161" s="78"/>
      <c r="G161" s="78"/>
      <c r="H161" s="80"/>
      <c r="I161" s="80"/>
      <c r="J161" s="80"/>
      <c r="K161" s="80"/>
      <c r="L161" s="80"/>
      <c r="M161" s="80"/>
      <c r="N161" s="80"/>
      <c r="O161" s="80"/>
      <c r="P161" s="80"/>
      <c r="Q161" s="80"/>
      <c r="R161" s="80"/>
      <c r="S161" s="80"/>
      <c r="T161" s="81"/>
      <c r="U161" s="81"/>
      <c r="V161" s="81"/>
      <c r="W161" s="81"/>
      <c r="X161" s="81"/>
      <c r="Y161" s="81"/>
      <c r="Z161" s="82"/>
      <c r="AA161" s="15"/>
      <c r="AB161" s="15"/>
      <c r="AC161" s="15"/>
      <c r="AD161" s="15"/>
      <c r="AE161" s="15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</row>
    <row r="162" spans="1:43" s="8" customFormat="1" x14ac:dyDescent="0.2">
      <c r="A162" s="78"/>
      <c r="B162" s="78"/>
      <c r="C162" s="78"/>
      <c r="D162" s="78"/>
      <c r="E162" s="78"/>
      <c r="F162" s="78"/>
      <c r="G162" s="78"/>
      <c r="H162" s="80"/>
      <c r="I162" s="80"/>
      <c r="J162" s="80"/>
      <c r="K162" s="80"/>
      <c r="L162" s="80"/>
      <c r="M162" s="80"/>
      <c r="N162" s="80"/>
      <c r="O162" s="80"/>
      <c r="P162" s="80"/>
      <c r="Q162" s="80"/>
      <c r="R162" s="80"/>
      <c r="S162" s="80"/>
      <c r="T162" s="81"/>
      <c r="U162" s="81"/>
      <c r="V162" s="81"/>
      <c r="W162" s="81"/>
      <c r="X162" s="81"/>
      <c r="Y162" s="81"/>
      <c r="Z162" s="82"/>
      <c r="AA162" s="15"/>
      <c r="AB162" s="15"/>
      <c r="AC162" s="15"/>
      <c r="AD162" s="15"/>
      <c r="AE162" s="15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</row>
    <row r="163" spans="1:43" s="8" customFormat="1" x14ac:dyDescent="0.2">
      <c r="A163" s="78"/>
      <c r="B163" s="78"/>
      <c r="C163" s="78"/>
      <c r="D163" s="78"/>
      <c r="E163" s="78"/>
      <c r="F163" s="78"/>
      <c r="G163" s="78"/>
      <c r="H163" s="80"/>
      <c r="I163" s="80"/>
      <c r="J163" s="80"/>
      <c r="K163" s="80"/>
      <c r="L163" s="80"/>
      <c r="M163" s="80"/>
      <c r="N163" s="80"/>
      <c r="O163" s="80"/>
      <c r="P163" s="80"/>
      <c r="Q163" s="80"/>
      <c r="R163" s="80"/>
      <c r="S163" s="80"/>
      <c r="T163" s="81"/>
      <c r="U163" s="81"/>
      <c r="V163" s="81"/>
      <c r="W163" s="81"/>
      <c r="X163" s="81"/>
      <c r="Y163" s="81"/>
      <c r="Z163" s="82"/>
      <c r="AA163" s="15"/>
      <c r="AB163" s="15"/>
      <c r="AC163" s="15"/>
      <c r="AD163" s="15"/>
      <c r="AE163" s="15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</row>
    <row r="164" spans="1:43" s="8" customFormat="1" x14ac:dyDescent="0.2">
      <c r="A164" s="78"/>
      <c r="B164" s="78"/>
      <c r="C164" s="78"/>
      <c r="D164" s="78"/>
      <c r="E164" s="78"/>
      <c r="F164" s="78"/>
      <c r="G164" s="78"/>
      <c r="H164" s="80"/>
      <c r="I164" s="80"/>
      <c r="J164" s="80"/>
      <c r="K164" s="80"/>
      <c r="L164" s="80"/>
      <c r="M164" s="80"/>
      <c r="N164" s="80"/>
      <c r="O164" s="80"/>
      <c r="P164" s="80"/>
      <c r="Q164" s="80"/>
      <c r="R164" s="80"/>
      <c r="S164" s="80"/>
      <c r="T164" s="81"/>
      <c r="U164" s="81"/>
      <c r="V164" s="81"/>
      <c r="W164" s="81"/>
      <c r="X164" s="81"/>
      <c r="Y164" s="81"/>
      <c r="Z164" s="82"/>
      <c r="AA164" s="15"/>
      <c r="AB164" s="15"/>
      <c r="AC164" s="15"/>
      <c r="AD164" s="15"/>
      <c r="AE164" s="15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</row>
    <row r="165" spans="1:43" s="8" customFormat="1" x14ac:dyDescent="0.2">
      <c r="A165" s="78"/>
      <c r="B165" s="78"/>
      <c r="C165" s="78"/>
      <c r="D165" s="78"/>
      <c r="E165" s="78"/>
      <c r="F165" s="78"/>
      <c r="G165" s="78"/>
      <c r="H165" s="80"/>
      <c r="I165" s="80"/>
      <c r="J165" s="80"/>
      <c r="K165" s="80"/>
      <c r="L165" s="80"/>
      <c r="M165" s="80"/>
      <c r="N165" s="80"/>
      <c r="O165" s="80"/>
      <c r="P165" s="80"/>
      <c r="Q165" s="80"/>
      <c r="R165" s="80"/>
      <c r="S165" s="80"/>
      <c r="T165" s="81"/>
      <c r="U165" s="81"/>
      <c r="V165" s="81"/>
      <c r="W165" s="81"/>
      <c r="X165" s="81"/>
      <c r="Y165" s="81"/>
      <c r="Z165" s="82"/>
      <c r="AA165" s="15"/>
      <c r="AB165" s="15"/>
      <c r="AC165" s="15"/>
      <c r="AD165" s="15"/>
      <c r="AE165" s="15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</row>
    <row r="166" spans="1:43" s="8" customFormat="1" x14ac:dyDescent="0.2">
      <c r="A166" s="78"/>
      <c r="B166" s="78"/>
      <c r="C166" s="78"/>
      <c r="D166" s="78"/>
      <c r="E166" s="78"/>
      <c r="F166" s="78"/>
      <c r="G166" s="78"/>
      <c r="H166" s="80"/>
      <c r="I166" s="80"/>
      <c r="J166" s="80"/>
      <c r="K166" s="80"/>
      <c r="L166" s="80"/>
      <c r="M166" s="80"/>
      <c r="N166" s="80"/>
      <c r="O166" s="80"/>
      <c r="P166" s="80"/>
      <c r="Q166" s="80"/>
      <c r="R166" s="80"/>
      <c r="S166" s="80"/>
      <c r="T166" s="81"/>
      <c r="U166" s="81"/>
      <c r="V166" s="81"/>
      <c r="W166" s="81"/>
      <c r="X166" s="81"/>
      <c r="Y166" s="81"/>
      <c r="Z166" s="82"/>
      <c r="AA166" s="15"/>
      <c r="AB166" s="15"/>
      <c r="AC166" s="15"/>
      <c r="AD166" s="15"/>
      <c r="AE166" s="15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</row>
    <row r="167" spans="1:43" s="8" customFormat="1" x14ac:dyDescent="0.2">
      <c r="A167" s="78"/>
      <c r="B167" s="78"/>
      <c r="C167" s="78"/>
      <c r="D167" s="78"/>
      <c r="E167" s="78"/>
      <c r="F167" s="78"/>
      <c r="G167" s="78"/>
      <c r="H167" s="80"/>
      <c r="I167" s="80"/>
      <c r="J167" s="80"/>
      <c r="K167" s="80"/>
      <c r="L167" s="80"/>
      <c r="M167" s="80"/>
      <c r="N167" s="80"/>
      <c r="O167" s="80"/>
      <c r="P167" s="80"/>
      <c r="Q167" s="80"/>
      <c r="R167" s="80"/>
      <c r="S167" s="80"/>
      <c r="T167" s="81"/>
      <c r="U167" s="81"/>
      <c r="V167" s="81"/>
      <c r="W167" s="81"/>
      <c r="X167" s="81"/>
      <c r="Y167" s="81"/>
      <c r="Z167" s="82"/>
      <c r="AA167" s="15"/>
      <c r="AB167" s="15"/>
      <c r="AC167" s="15"/>
      <c r="AD167" s="15"/>
      <c r="AE167" s="15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</row>
    <row r="168" spans="1:43" s="8" customFormat="1" x14ac:dyDescent="0.2">
      <c r="A168" s="78"/>
      <c r="B168" s="78"/>
      <c r="C168" s="78"/>
      <c r="D168" s="78"/>
      <c r="E168" s="78"/>
      <c r="F168" s="78"/>
      <c r="G168" s="78"/>
      <c r="H168" s="80"/>
      <c r="I168" s="80"/>
      <c r="J168" s="80"/>
      <c r="K168" s="80"/>
      <c r="L168" s="80"/>
      <c r="M168" s="80"/>
      <c r="N168" s="80"/>
      <c r="O168" s="80"/>
      <c r="P168" s="80"/>
      <c r="Q168" s="80"/>
      <c r="R168" s="80"/>
      <c r="S168" s="80"/>
      <c r="T168" s="81"/>
      <c r="U168" s="81"/>
      <c r="V168" s="81"/>
      <c r="W168" s="81"/>
      <c r="X168" s="81"/>
      <c r="Y168" s="81"/>
      <c r="Z168" s="82"/>
      <c r="AA168" s="15"/>
      <c r="AB168" s="15"/>
      <c r="AC168" s="15"/>
      <c r="AD168" s="15"/>
      <c r="AE168" s="15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</row>
    <row r="169" spans="1:43" s="8" customFormat="1" x14ac:dyDescent="0.2">
      <c r="A169" s="78"/>
      <c r="B169" s="78"/>
      <c r="C169" s="78"/>
      <c r="D169" s="78"/>
      <c r="E169" s="78"/>
      <c r="F169" s="78"/>
      <c r="G169" s="78"/>
      <c r="H169" s="80"/>
      <c r="I169" s="80"/>
      <c r="J169" s="80"/>
      <c r="K169" s="80"/>
      <c r="L169" s="80"/>
      <c r="M169" s="80"/>
      <c r="N169" s="80"/>
      <c r="O169" s="80"/>
      <c r="P169" s="80"/>
      <c r="Q169" s="80"/>
      <c r="R169" s="80"/>
      <c r="S169" s="80"/>
      <c r="T169" s="81"/>
      <c r="U169" s="81"/>
      <c r="V169" s="81"/>
      <c r="W169" s="81"/>
      <c r="X169" s="81"/>
      <c r="Y169" s="81"/>
      <c r="Z169" s="82"/>
      <c r="AA169" s="15"/>
      <c r="AB169" s="15"/>
      <c r="AC169" s="15"/>
      <c r="AD169" s="15"/>
      <c r="AE169" s="15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</row>
    <row r="170" spans="1:43" s="8" customFormat="1" x14ac:dyDescent="0.2">
      <c r="A170" s="78"/>
      <c r="B170" s="78"/>
      <c r="C170" s="78"/>
      <c r="D170" s="78"/>
      <c r="E170" s="78"/>
      <c r="F170" s="78"/>
      <c r="G170" s="78"/>
      <c r="H170" s="80"/>
      <c r="I170" s="80"/>
      <c r="J170" s="80"/>
      <c r="K170" s="80"/>
      <c r="L170" s="80"/>
      <c r="M170" s="80"/>
      <c r="N170" s="80"/>
      <c r="O170" s="80"/>
      <c r="P170" s="80"/>
      <c r="Q170" s="80"/>
      <c r="R170" s="80"/>
      <c r="S170" s="80"/>
      <c r="T170" s="81"/>
      <c r="U170" s="81"/>
      <c r="V170" s="81"/>
      <c r="W170" s="81"/>
      <c r="X170" s="81"/>
      <c r="Y170" s="81"/>
      <c r="Z170" s="82"/>
      <c r="AA170" s="15"/>
      <c r="AB170" s="15"/>
      <c r="AC170" s="15"/>
      <c r="AD170" s="15"/>
      <c r="AE170" s="15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</row>
    <row r="171" spans="1:43" s="8" customFormat="1" x14ac:dyDescent="0.2">
      <c r="A171" s="78"/>
      <c r="B171" s="78"/>
      <c r="C171" s="78"/>
      <c r="D171" s="78"/>
      <c r="E171" s="78"/>
      <c r="F171" s="78"/>
      <c r="G171" s="78"/>
      <c r="H171" s="80"/>
      <c r="I171" s="80"/>
      <c r="J171" s="80"/>
      <c r="K171" s="80"/>
      <c r="L171" s="80"/>
      <c r="M171" s="80"/>
      <c r="N171" s="80"/>
      <c r="O171" s="80"/>
      <c r="P171" s="80"/>
      <c r="Q171" s="80"/>
      <c r="R171" s="80"/>
      <c r="S171" s="80"/>
      <c r="T171" s="81"/>
      <c r="U171" s="81"/>
      <c r="V171" s="81"/>
      <c r="W171" s="81"/>
      <c r="X171" s="81"/>
      <c r="Y171" s="81"/>
      <c r="Z171" s="82"/>
      <c r="AA171" s="15"/>
      <c r="AB171" s="15"/>
      <c r="AC171" s="15"/>
      <c r="AD171" s="15"/>
      <c r="AE171" s="15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</row>
    <row r="172" spans="1:43" s="8" customFormat="1" x14ac:dyDescent="0.2">
      <c r="A172" s="78"/>
      <c r="B172" s="78"/>
      <c r="C172" s="78"/>
      <c r="D172" s="78"/>
      <c r="E172" s="78"/>
      <c r="F172" s="78"/>
      <c r="G172" s="78"/>
      <c r="H172" s="80"/>
      <c r="I172" s="80"/>
      <c r="J172" s="80"/>
      <c r="K172" s="80"/>
      <c r="L172" s="80"/>
      <c r="M172" s="80"/>
      <c r="N172" s="80"/>
      <c r="O172" s="80"/>
      <c r="P172" s="80"/>
      <c r="Q172" s="80"/>
      <c r="R172" s="80"/>
      <c r="S172" s="80"/>
      <c r="T172" s="81"/>
      <c r="U172" s="81"/>
      <c r="V172" s="81"/>
      <c r="W172" s="81"/>
      <c r="X172" s="81"/>
      <c r="Y172" s="81"/>
      <c r="Z172" s="82"/>
      <c r="AA172" s="15"/>
      <c r="AB172" s="15"/>
      <c r="AC172" s="15"/>
      <c r="AD172" s="15"/>
      <c r="AE172" s="15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</row>
    <row r="173" spans="1:43" s="8" customFormat="1" x14ac:dyDescent="0.2">
      <c r="A173" s="78"/>
      <c r="B173" s="78"/>
      <c r="C173" s="78"/>
      <c r="D173" s="78"/>
      <c r="E173" s="78"/>
      <c r="F173" s="78"/>
      <c r="G173" s="78"/>
      <c r="H173" s="80"/>
      <c r="I173" s="80"/>
      <c r="J173" s="80"/>
      <c r="K173" s="80"/>
      <c r="L173" s="80"/>
      <c r="M173" s="80"/>
      <c r="N173" s="80"/>
      <c r="O173" s="80"/>
      <c r="P173" s="80"/>
      <c r="Q173" s="80"/>
      <c r="R173" s="80"/>
      <c r="S173" s="80"/>
      <c r="T173" s="81"/>
      <c r="U173" s="81"/>
      <c r="V173" s="81"/>
      <c r="W173" s="81"/>
      <c r="X173" s="81"/>
      <c r="Y173" s="81"/>
      <c r="Z173" s="82"/>
      <c r="AA173" s="15"/>
      <c r="AB173" s="15"/>
      <c r="AC173" s="15"/>
      <c r="AD173" s="15"/>
      <c r="AE173" s="15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</row>
    <row r="174" spans="1:43" s="8" customFormat="1" x14ac:dyDescent="0.2">
      <c r="A174" s="78"/>
      <c r="B174" s="78"/>
      <c r="C174" s="78"/>
      <c r="D174" s="78"/>
      <c r="E174" s="78"/>
      <c r="F174" s="78"/>
      <c r="G174" s="78"/>
      <c r="H174" s="80"/>
      <c r="I174" s="80"/>
      <c r="J174" s="80"/>
      <c r="K174" s="80"/>
      <c r="L174" s="80"/>
      <c r="M174" s="80"/>
      <c r="N174" s="80"/>
      <c r="O174" s="80"/>
      <c r="P174" s="80"/>
      <c r="Q174" s="80"/>
      <c r="R174" s="80"/>
      <c r="S174" s="80"/>
      <c r="T174" s="81"/>
      <c r="U174" s="81"/>
      <c r="V174" s="81"/>
      <c r="W174" s="81"/>
      <c r="X174" s="81"/>
      <c r="Y174" s="81"/>
      <c r="Z174" s="82"/>
      <c r="AA174" s="15"/>
      <c r="AB174" s="15"/>
      <c r="AC174" s="15"/>
      <c r="AD174" s="15"/>
      <c r="AE174" s="15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</row>
    <row r="175" spans="1:43" s="8" customFormat="1" x14ac:dyDescent="0.2">
      <c r="A175" s="78"/>
      <c r="B175" s="78"/>
      <c r="C175" s="78"/>
      <c r="D175" s="78"/>
      <c r="E175" s="78"/>
      <c r="F175" s="78"/>
      <c r="G175" s="78"/>
      <c r="H175" s="80"/>
      <c r="I175" s="80"/>
      <c r="J175" s="80"/>
      <c r="K175" s="80"/>
      <c r="L175" s="80"/>
      <c r="M175" s="80"/>
      <c r="N175" s="80"/>
      <c r="O175" s="80"/>
      <c r="P175" s="80"/>
      <c r="Q175" s="80"/>
      <c r="R175" s="80"/>
      <c r="S175" s="80"/>
      <c r="T175" s="81"/>
      <c r="U175" s="81"/>
      <c r="V175" s="81"/>
      <c r="W175" s="81"/>
      <c r="X175" s="81"/>
      <c r="Y175" s="81"/>
      <c r="Z175" s="82"/>
      <c r="AA175" s="15"/>
      <c r="AB175" s="15"/>
      <c r="AC175" s="15"/>
      <c r="AD175" s="15"/>
      <c r="AE175" s="15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</row>
    <row r="176" spans="1:43" s="8" customFormat="1" x14ac:dyDescent="0.2">
      <c r="A176" s="78"/>
      <c r="B176" s="78"/>
      <c r="C176" s="78"/>
      <c r="D176" s="78"/>
      <c r="E176" s="78"/>
      <c r="F176" s="78"/>
      <c r="G176" s="78"/>
      <c r="H176" s="80"/>
      <c r="I176" s="80"/>
      <c r="J176" s="80"/>
      <c r="K176" s="80"/>
      <c r="L176" s="80"/>
      <c r="M176" s="80"/>
      <c r="N176" s="80"/>
      <c r="O176" s="80"/>
      <c r="P176" s="80"/>
      <c r="Q176" s="80"/>
      <c r="R176" s="80"/>
      <c r="S176" s="80"/>
      <c r="T176" s="81"/>
      <c r="U176" s="81"/>
      <c r="V176" s="81"/>
      <c r="W176" s="81"/>
      <c r="X176" s="81"/>
      <c r="Y176" s="81"/>
      <c r="Z176" s="82"/>
      <c r="AA176" s="15"/>
      <c r="AB176" s="15"/>
      <c r="AC176" s="15"/>
      <c r="AD176" s="15"/>
      <c r="AE176" s="15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</row>
    <row r="177" spans="1:43" s="8" customFormat="1" x14ac:dyDescent="0.2">
      <c r="A177" s="78"/>
      <c r="B177" s="78"/>
      <c r="C177" s="78"/>
      <c r="D177" s="78"/>
      <c r="E177" s="78"/>
      <c r="F177" s="78"/>
      <c r="G177" s="78"/>
      <c r="H177" s="80"/>
      <c r="I177" s="80"/>
      <c r="J177" s="80"/>
      <c r="K177" s="80"/>
      <c r="L177" s="80"/>
      <c r="M177" s="80"/>
      <c r="N177" s="80"/>
      <c r="O177" s="80"/>
      <c r="P177" s="80"/>
      <c r="Q177" s="80"/>
      <c r="R177" s="80"/>
      <c r="S177" s="80"/>
      <c r="T177" s="81"/>
      <c r="U177" s="81"/>
      <c r="V177" s="81"/>
      <c r="W177" s="81"/>
      <c r="X177" s="81"/>
      <c r="Y177" s="81"/>
      <c r="Z177" s="82"/>
      <c r="AA177" s="15"/>
      <c r="AB177" s="15"/>
      <c r="AC177" s="15"/>
      <c r="AD177" s="15"/>
      <c r="AE177" s="15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</row>
    <row r="178" spans="1:43" s="8" customFormat="1" x14ac:dyDescent="0.2">
      <c r="A178" s="78"/>
      <c r="B178" s="78"/>
      <c r="C178" s="78"/>
      <c r="D178" s="78"/>
      <c r="E178" s="78"/>
      <c r="F178" s="78"/>
      <c r="G178" s="78"/>
      <c r="H178" s="80"/>
      <c r="I178" s="80"/>
      <c r="J178" s="80"/>
      <c r="K178" s="80"/>
      <c r="L178" s="80"/>
      <c r="M178" s="80"/>
      <c r="N178" s="80"/>
      <c r="O178" s="80"/>
      <c r="P178" s="80"/>
      <c r="Q178" s="80"/>
      <c r="R178" s="80"/>
      <c r="S178" s="80"/>
      <c r="T178" s="81"/>
      <c r="U178" s="81"/>
      <c r="V178" s="81"/>
      <c r="W178" s="81"/>
      <c r="X178" s="81"/>
      <c r="Y178" s="81"/>
      <c r="Z178" s="82"/>
      <c r="AA178" s="15"/>
      <c r="AB178" s="15"/>
      <c r="AC178" s="15"/>
      <c r="AD178" s="15"/>
      <c r="AE178" s="15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</row>
    <row r="179" spans="1:43" s="8" customFormat="1" x14ac:dyDescent="0.2">
      <c r="A179" s="78"/>
      <c r="B179" s="78"/>
      <c r="C179" s="78"/>
      <c r="D179" s="78"/>
      <c r="E179" s="78"/>
      <c r="F179" s="78"/>
      <c r="G179" s="78"/>
      <c r="H179" s="80"/>
      <c r="I179" s="80"/>
      <c r="J179" s="80"/>
      <c r="K179" s="80"/>
      <c r="L179" s="80"/>
      <c r="M179" s="80"/>
      <c r="N179" s="80"/>
      <c r="O179" s="80"/>
      <c r="P179" s="80"/>
      <c r="Q179" s="80"/>
      <c r="R179" s="80"/>
      <c r="S179" s="80"/>
      <c r="T179" s="81"/>
      <c r="U179" s="81"/>
      <c r="V179" s="81"/>
      <c r="W179" s="81"/>
      <c r="X179" s="81"/>
      <c r="Y179" s="81"/>
      <c r="Z179" s="82"/>
      <c r="AA179" s="15"/>
      <c r="AB179" s="15"/>
      <c r="AC179" s="15"/>
      <c r="AD179" s="15"/>
      <c r="AE179" s="15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</row>
    <row r="180" spans="1:43" s="8" customFormat="1" x14ac:dyDescent="0.2">
      <c r="A180" s="78"/>
      <c r="B180" s="78"/>
      <c r="C180" s="78"/>
      <c r="D180" s="78"/>
      <c r="E180" s="78"/>
      <c r="F180" s="78"/>
      <c r="G180" s="78"/>
      <c r="H180" s="80"/>
      <c r="I180" s="80"/>
      <c r="J180" s="80"/>
      <c r="K180" s="80"/>
      <c r="L180" s="80"/>
      <c r="M180" s="80"/>
      <c r="N180" s="80"/>
      <c r="O180" s="80"/>
      <c r="P180" s="80"/>
      <c r="Q180" s="80"/>
      <c r="R180" s="80"/>
      <c r="S180" s="80"/>
      <c r="T180" s="81"/>
      <c r="U180" s="81"/>
      <c r="V180" s="81"/>
      <c r="W180" s="81"/>
      <c r="X180" s="81"/>
      <c r="Y180" s="81"/>
      <c r="Z180" s="82"/>
      <c r="AA180" s="15"/>
      <c r="AB180" s="15"/>
      <c r="AC180" s="15"/>
      <c r="AD180" s="15"/>
      <c r="AE180" s="15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</row>
    <row r="181" spans="1:43" s="8" customFormat="1" x14ac:dyDescent="0.2">
      <c r="A181" s="78"/>
      <c r="B181" s="78"/>
      <c r="C181" s="78"/>
      <c r="D181" s="78"/>
      <c r="E181" s="78"/>
      <c r="F181" s="78"/>
      <c r="G181" s="78"/>
      <c r="H181" s="80"/>
      <c r="I181" s="80"/>
      <c r="J181" s="80"/>
      <c r="K181" s="80"/>
      <c r="L181" s="80"/>
      <c r="M181" s="80"/>
      <c r="N181" s="80"/>
      <c r="O181" s="80"/>
      <c r="P181" s="80"/>
      <c r="Q181" s="80"/>
      <c r="R181" s="80"/>
      <c r="S181" s="80"/>
      <c r="T181" s="81"/>
      <c r="U181" s="81"/>
      <c r="V181" s="81"/>
      <c r="W181" s="81"/>
      <c r="X181" s="81"/>
      <c r="Y181" s="81"/>
      <c r="Z181" s="82"/>
      <c r="AA181" s="15"/>
      <c r="AB181" s="15"/>
      <c r="AC181" s="15"/>
      <c r="AD181" s="15"/>
      <c r="AE181" s="15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</row>
    <row r="182" spans="1:43" s="8" customFormat="1" x14ac:dyDescent="0.2">
      <c r="A182" s="78"/>
      <c r="B182" s="78"/>
      <c r="C182" s="78"/>
      <c r="D182" s="78"/>
      <c r="E182" s="78"/>
      <c r="F182" s="78"/>
      <c r="G182" s="78"/>
      <c r="H182" s="80"/>
      <c r="I182" s="80"/>
      <c r="J182" s="80"/>
      <c r="K182" s="80"/>
      <c r="L182" s="80"/>
      <c r="M182" s="80"/>
      <c r="N182" s="80"/>
      <c r="O182" s="80"/>
      <c r="P182" s="80"/>
      <c r="Q182" s="80"/>
      <c r="R182" s="80"/>
      <c r="S182" s="80"/>
      <c r="T182" s="81"/>
      <c r="U182" s="81"/>
      <c r="V182" s="81"/>
      <c r="W182" s="81"/>
      <c r="X182" s="81"/>
      <c r="Y182" s="81"/>
      <c r="Z182" s="82"/>
      <c r="AA182" s="15"/>
      <c r="AB182" s="15"/>
      <c r="AC182" s="15"/>
      <c r="AD182" s="15"/>
      <c r="AE182" s="15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</row>
    <row r="183" spans="1:43" s="8" customFormat="1" x14ac:dyDescent="0.2">
      <c r="A183" s="78"/>
      <c r="B183" s="78"/>
      <c r="C183" s="78"/>
      <c r="D183" s="78"/>
      <c r="E183" s="78"/>
      <c r="F183" s="78"/>
      <c r="G183" s="78"/>
      <c r="H183" s="80"/>
      <c r="I183" s="80"/>
      <c r="J183" s="80"/>
      <c r="K183" s="80"/>
      <c r="L183" s="80"/>
      <c r="M183" s="80"/>
      <c r="N183" s="80"/>
      <c r="O183" s="80"/>
      <c r="P183" s="80"/>
      <c r="Q183" s="80"/>
      <c r="R183" s="80"/>
      <c r="S183" s="80"/>
      <c r="T183" s="81"/>
      <c r="U183" s="81"/>
      <c r="V183" s="81"/>
      <c r="W183" s="81"/>
      <c r="X183" s="81"/>
      <c r="Y183" s="81"/>
      <c r="Z183" s="82"/>
      <c r="AA183" s="15"/>
      <c r="AB183" s="15"/>
      <c r="AC183" s="15"/>
      <c r="AD183" s="15"/>
      <c r="AE183" s="15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</row>
    <row r="184" spans="1:43" s="8" customFormat="1" x14ac:dyDescent="0.2">
      <c r="A184" s="78"/>
      <c r="B184" s="78"/>
      <c r="C184" s="78"/>
      <c r="D184" s="78"/>
      <c r="E184" s="78"/>
      <c r="F184" s="78"/>
      <c r="G184" s="78"/>
      <c r="H184" s="80"/>
      <c r="I184" s="80"/>
      <c r="J184" s="80"/>
      <c r="K184" s="80"/>
      <c r="L184" s="80"/>
      <c r="M184" s="80"/>
      <c r="N184" s="80"/>
      <c r="O184" s="80"/>
      <c r="P184" s="80"/>
      <c r="Q184" s="80"/>
      <c r="R184" s="80"/>
      <c r="S184" s="80"/>
      <c r="T184" s="81"/>
      <c r="U184" s="81"/>
      <c r="V184" s="81"/>
      <c r="W184" s="81"/>
      <c r="X184" s="81"/>
      <c r="Y184" s="81"/>
      <c r="Z184" s="82"/>
      <c r="AA184" s="15"/>
      <c r="AB184" s="15"/>
      <c r="AC184" s="15"/>
      <c r="AD184" s="15"/>
      <c r="AE184" s="15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</row>
    <row r="185" spans="1:43" s="8" customFormat="1" x14ac:dyDescent="0.2">
      <c r="A185" s="78"/>
      <c r="B185" s="78"/>
      <c r="C185" s="78"/>
      <c r="D185" s="78"/>
      <c r="E185" s="78"/>
      <c r="F185" s="78"/>
      <c r="G185" s="78"/>
      <c r="H185" s="80"/>
      <c r="I185" s="80"/>
      <c r="J185" s="80"/>
      <c r="K185" s="80"/>
      <c r="L185" s="80"/>
      <c r="M185" s="80"/>
      <c r="N185" s="80"/>
      <c r="O185" s="80"/>
      <c r="P185" s="80"/>
      <c r="Q185" s="80"/>
      <c r="R185" s="80"/>
      <c r="S185" s="80"/>
      <c r="T185" s="81"/>
      <c r="U185" s="81"/>
      <c r="V185" s="81"/>
      <c r="W185" s="81"/>
      <c r="X185" s="81"/>
      <c r="Y185" s="81"/>
      <c r="Z185" s="82"/>
      <c r="AA185" s="15"/>
      <c r="AB185" s="15"/>
      <c r="AC185" s="15"/>
      <c r="AD185" s="15"/>
      <c r="AE185" s="15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</row>
    <row r="186" spans="1:43" s="8" customFormat="1" x14ac:dyDescent="0.2">
      <c r="A186" s="78"/>
      <c r="B186" s="78"/>
      <c r="C186" s="78"/>
      <c r="D186" s="78"/>
      <c r="E186" s="78"/>
      <c r="F186" s="78"/>
      <c r="G186" s="78"/>
      <c r="H186" s="80"/>
      <c r="I186" s="80"/>
      <c r="J186" s="80"/>
      <c r="K186" s="80"/>
      <c r="L186" s="80"/>
      <c r="M186" s="80"/>
      <c r="N186" s="80"/>
      <c r="O186" s="80"/>
      <c r="P186" s="80"/>
      <c r="Q186" s="80"/>
      <c r="R186" s="80"/>
      <c r="S186" s="80"/>
      <c r="T186" s="81"/>
      <c r="U186" s="81"/>
      <c r="V186" s="81"/>
      <c r="W186" s="81"/>
      <c r="X186" s="81"/>
      <c r="Y186" s="81"/>
      <c r="Z186" s="82"/>
      <c r="AA186" s="15"/>
      <c r="AB186" s="15"/>
      <c r="AC186" s="15"/>
      <c r="AD186" s="15"/>
      <c r="AE186" s="15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</row>
    <row r="187" spans="1:43" s="8" customFormat="1" x14ac:dyDescent="0.2">
      <c r="A187" s="78"/>
      <c r="B187" s="78"/>
      <c r="C187" s="78"/>
      <c r="D187" s="78"/>
      <c r="E187" s="78"/>
      <c r="F187" s="78"/>
      <c r="G187" s="78"/>
      <c r="H187" s="80"/>
      <c r="I187" s="80"/>
      <c r="J187" s="80"/>
      <c r="K187" s="80"/>
      <c r="L187" s="80"/>
      <c r="M187" s="80"/>
      <c r="N187" s="80"/>
      <c r="O187" s="80"/>
      <c r="P187" s="80"/>
      <c r="Q187" s="80"/>
      <c r="R187" s="80"/>
      <c r="S187" s="80"/>
      <c r="T187" s="81"/>
      <c r="U187" s="81"/>
      <c r="V187" s="81"/>
      <c r="W187" s="81"/>
      <c r="X187" s="81"/>
      <c r="Y187" s="81"/>
      <c r="Z187" s="82"/>
      <c r="AA187" s="15"/>
      <c r="AB187" s="15"/>
      <c r="AC187" s="15"/>
      <c r="AD187" s="15"/>
      <c r="AE187" s="15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</row>
    <row r="188" spans="1:43" s="8" customFormat="1" x14ac:dyDescent="0.2">
      <c r="A188" s="78"/>
      <c r="B188" s="78"/>
      <c r="C188" s="78"/>
      <c r="D188" s="78"/>
      <c r="E188" s="78"/>
      <c r="F188" s="78"/>
      <c r="G188" s="78"/>
      <c r="H188" s="80"/>
      <c r="I188" s="80"/>
      <c r="J188" s="80"/>
      <c r="K188" s="80"/>
      <c r="L188" s="80"/>
      <c r="M188" s="80"/>
      <c r="N188" s="80"/>
      <c r="O188" s="80"/>
      <c r="P188" s="80"/>
      <c r="Q188" s="80"/>
      <c r="R188" s="80"/>
      <c r="S188" s="80"/>
      <c r="T188" s="81"/>
      <c r="U188" s="81"/>
      <c r="V188" s="81"/>
      <c r="W188" s="81"/>
      <c r="X188" s="81"/>
      <c r="Y188" s="81"/>
      <c r="Z188" s="82"/>
      <c r="AA188" s="15"/>
      <c r="AB188" s="15"/>
      <c r="AC188" s="15"/>
      <c r="AD188" s="15"/>
      <c r="AE188" s="15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</row>
    <row r="189" spans="1:43" s="8" customFormat="1" x14ac:dyDescent="0.2">
      <c r="A189" s="78"/>
      <c r="B189" s="78"/>
      <c r="C189" s="78"/>
      <c r="D189" s="78"/>
      <c r="E189" s="78"/>
      <c r="F189" s="78"/>
      <c r="G189" s="78"/>
      <c r="H189" s="80"/>
      <c r="I189" s="80"/>
      <c r="J189" s="80"/>
      <c r="K189" s="80"/>
      <c r="L189" s="80"/>
      <c r="M189" s="80"/>
      <c r="N189" s="80"/>
      <c r="O189" s="80"/>
      <c r="P189" s="80"/>
      <c r="Q189" s="80"/>
      <c r="R189" s="80"/>
      <c r="S189" s="80"/>
      <c r="T189" s="81"/>
      <c r="U189" s="81"/>
      <c r="V189" s="81"/>
      <c r="W189" s="81"/>
      <c r="X189" s="81"/>
      <c r="Y189" s="81"/>
      <c r="Z189" s="82"/>
      <c r="AA189" s="15"/>
      <c r="AB189" s="15"/>
      <c r="AC189" s="15"/>
      <c r="AD189" s="15"/>
      <c r="AE189" s="15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</row>
    <row r="190" spans="1:43" s="8" customFormat="1" x14ac:dyDescent="0.2">
      <c r="A190" s="78"/>
      <c r="B190" s="78"/>
      <c r="C190" s="78"/>
      <c r="D190" s="78"/>
      <c r="E190" s="78"/>
      <c r="F190" s="78"/>
      <c r="G190" s="78"/>
      <c r="H190" s="80"/>
      <c r="I190" s="80"/>
      <c r="J190" s="80"/>
      <c r="K190" s="80"/>
      <c r="L190" s="80"/>
      <c r="M190" s="80"/>
      <c r="N190" s="80"/>
      <c r="O190" s="80"/>
      <c r="P190" s="80"/>
      <c r="Q190" s="80"/>
      <c r="R190" s="80"/>
      <c r="S190" s="80"/>
      <c r="T190" s="81"/>
      <c r="U190" s="81"/>
      <c r="V190" s="81"/>
      <c r="W190" s="81"/>
      <c r="X190" s="81"/>
      <c r="Y190" s="81"/>
      <c r="Z190" s="82"/>
      <c r="AA190" s="15"/>
      <c r="AB190" s="15"/>
      <c r="AC190" s="15"/>
      <c r="AD190" s="15"/>
      <c r="AE190" s="15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</row>
    <row r="191" spans="1:43" s="8" customFormat="1" x14ac:dyDescent="0.2">
      <c r="A191" s="78"/>
      <c r="B191" s="78"/>
      <c r="C191" s="78"/>
      <c r="D191" s="78"/>
      <c r="E191" s="78"/>
      <c r="F191" s="78"/>
      <c r="G191" s="78"/>
      <c r="H191" s="80"/>
      <c r="I191" s="80"/>
      <c r="J191" s="80"/>
      <c r="K191" s="80"/>
      <c r="L191" s="80"/>
      <c r="M191" s="80"/>
      <c r="N191" s="80"/>
      <c r="O191" s="80"/>
      <c r="P191" s="80"/>
      <c r="Q191" s="80"/>
      <c r="R191" s="80"/>
      <c r="S191" s="80"/>
      <c r="T191" s="81"/>
      <c r="U191" s="81"/>
      <c r="V191" s="81"/>
      <c r="W191" s="81"/>
      <c r="X191" s="81"/>
      <c r="Y191" s="81"/>
      <c r="Z191" s="82"/>
      <c r="AA191" s="15"/>
      <c r="AB191" s="15"/>
      <c r="AC191" s="15"/>
      <c r="AD191" s="15"/>
      <c r="AE191" s="15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</row>
    <row r="192" spans="1:43" s="8" customFormat="1" x14ac:dyDescent="0.2">
      <c r="A192" s="78"/>
      <c r="B192" s="78"/>
      <c r="C192" s="78"/>
      <c r="D192" s="78"/>
      <c r="E192" s="78"/>
      <c r="F192" s="78"/>
      <c r="G192" s="78"/>
      <c r="H192" s="80"/>
      <c r="I192" s="80"/>
      <c r="J192" s="80"/>
      <c r="K192" s="80"/>
      <c r="L192" s="80"/>
      <c r="M192" s="80"/>
      <c r="N192" s="80"/>
      <c r="O192" s="80"/>
      <c r="P192" s="80"/>
      <c r="Q192" s="80"/>
      <c r="R192" s="80"/>
      <c r="S192" s="80"/>
      <c r="T192" s="81"/>
      <c r="U192" s="81"/>
      <c r="V192" s="81"/>
      <c r="W192" s="81"/>
      <c r="X192" s="81"/>
      <c r="Y192" s="81"/>
      <c r="Z192" s="82"/>
      <c r="AA192" s="15"/>
      <c r="AB192" s="15"/>
      <c r="AC192" s="15"/>
      <c r="AD192" s="15"/>
      <c r="AE192" s="15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</row>
    <row r="193" spans="1:43" s="8" customFormat="1" x14ac:dyDescent="0.2">
      <c r="A193" s="78"/>
      <c r="B193" s="78"/>
      <c r="C193" s="78"/>
      <c r="D193" s="78"/>
      <c r="E193" s="78"/>
      <c r="F193" s="78"/>
      <c r="G193" s="78"/>
      <c r="H193" s="80"/>
      <c r="I193" s="80"/>
      <c r="J193" s="80"/>
      <c r="K193" s="80"/>
      <c r="L193" s="80"/>
      <c r="M193" s="80"/>
      <c r="N193" s="80"/>
      <c r="O193" s="80"/>
      <c r="P193" s="80"/>
      <c r="Q193" s="80"/>
      <c r="R193" s="80"/>
      <c r="S193" s="80"/>
      <c r="T193" s="81"/>
      <c r="U193" s="81"/>
      <c r="V193" s="81"/>
      <c r="W193" s="81"/>
      <c r="X193" s="81"/>
      <c r="Y193" s="81"/>
      <c r="Z193" s="82"/>
      <c r="AA193" s="15"/>
      <c r="AB193" s="15"/>
      <c r="AC193" s="15"/>
      <c r="AD193" s="15"/>
      <c r="AE193" s="15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</row>
    <row r="194" spans="1:43" s="8" customFormat="1" x14ac:dyDescent="0.2">
      <c r="A194" s="78"/>
      <c r="B194" s="78"/>
      <c r="C194" s="78"/>
      <c r="D194" s="78"/>
      <c r="E194" s="78"/>
      <c r="F194" s="78"/>
      <c r="G194" s="78"/>
      <c r="H194" s="80"/>
      <c r="I194" s="80"/>
      <c r="J194" s="80"/>
      <c r="K194" s="80"/>
      <c r="L194" s="80"/>
      <c r="M194" s="80"/>
      <c r="N194" s="80"/>
      <c r="O194" s="80"/>
      <c r="P194" s="80"/>
      <c r="Q194" s="80"/>
      <c r="R194" s="80"/>
      <c r="S194" s="80"/>
      <c r="T194" s="81"/>
      <c r="U194" s="81"/>
      <c r="V194" s="81"/>
      <c r="W194" s="81"/>
      <c r="X194" s="81"/>
      <c r="Y194" s="81"/>
      <c r="Z194" s="82"/>
      <c r="AA194" s="15"/>
      <c r="AB194" s="15"/>
      <c r="AC194" s="15"/>
      <c r="AD194" s="15"/>
      <c r="AE194" s="15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</row>
    <row r="195" spans="1:43" s="8" customFormat="1" x14ac:dyDescent="0.2">
      <c r="A195" s="78"/>
      <c r="B195" s="78"/>
      <c r="C195" s="78"/>
      <c r="D195" s="78"/>
      <c r="E195" s="78"/>
      <c r="F195" s="78"/>
      <c r="G195" s="78"/>
      <c r="H195" s="80"/>
      <c r="I195" s="80"/>
      <c r="J195" s="80"/>
      <c r="K195" s="80"/>
      <c r="L195" s="80"/>
      <c r="M195" s="80"/>
      <c r="N195" s="80"/>
      <c r="O195" s="80"/>
      <c r="P195" s="80"/>
      <c r="Q195" s="80"/>
      <c r="R195" s="80"/>
      <c r="S195" s="80"/>
      <c r="T195" s="81"/>
      <c r="U195" s="81"/>
      <c r="V195" s="81"/>
      <c r="W195" s="81"/>
      <c r="X195" s="81"/>
      <c r="Y195" s="81"/>
      <c r="Z195" s="82"/>
      <c r="AA195" s="15"/>
      <c r="AB195" s="15"/>
      <c r="AC195" s="15"/>
      <c r="AD195" s="15"/>
      <c r="AE195" s="15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</row>
    <row r="196" spans="1:43" s="8" customFormat="1" x14ac:dyDescent="0.2">
      <c r="A196" s="78"/>
      <c r="B196" s="78"/>
      <c r="C196" s="78"/>
      <c r="D196" s="78"/>
      <c r="E196" s="78"/>
      <c r="F196" s="78"/>
      <c r="G196" s="78"/>
      <c r="H196" s="80"/>
      <c r="I196" s="80"/>
      <c r="J196" s="80"/>
      <c r="K196" s="80"/>
      <c r="L196" s="80"/>
      <c r="M196" s="80"/>
      <c r="N196" s="80"/>
      <c r="O196" s="80"/>
      <c r="P196" s="80"/>
      <c r="Q196" s="80"/>
      <c r="R196" s="80"/>
      <c r="S196" s="80"/>
      <c r="T196" s="81"/>
      <c r="U196" s="81"/>
      <c r="V196" s="81"/>
      <c r="W196" s="81"/>
      <c r="X196" s="81"/>
      <c r="Y196" s="81"/>
      <c r="Z196" s="82"/>
      <c r="AA196" s="15"/>
      <c r="AB196" s="15"/>
      <c r="AC196" s="15"/>
      <c r="AD196" s="15"/>
      <c r="AE196" s="15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</row>
    <row r="197" spans="1:43" s="8" customFormat="1" x14ac:dyDescent="0.2">
      <c r="A197" s="78"/>
      <c r="B197" s="78"/>
      <c r="C197" s="78"/>
      <c r="D197" s="78"/>
      <c r="E197" s="78"/>
      <c r="F197" s="78"/>
      <c r="G197" s="78"/>
      <c r="H197" s="80"/>
      <c r="I197" s="80"/>
      <c r="J197" s="80"/>
      <c r="K197" s="80"/>
      <c r="L197" s="80"/>
      <c r="M197" s="80"/>
      <c r="N197" s="80"/>
      <c r="O197" s="80"/>
      <c r="P197" s="80"/>
      <c r="Q197" s="80"/>
      <c r="R197" s="80"/>
      <c r="S197" s="80"/>
      <c r="T197" s="81"/>
      <c r="U197" s="81"/>
      <c r="V197" s="81"/>
      <c r="W197" s="81"/>
      <c r="X197" s="81"/>
      <c r="Y197" s="81"/>
      <c r="Z197" s="82"/>
      <c r="AA197" s="15"/>
      <c r="AB197" s="15"/>
      <c r="AC197" s="15"/>
      <c r="AD197" s="15"/>
      <c r="AE197" s="15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</row>
    <row r="198" spans="1:43" s="8" customFormat="1" x14ac:dyDescent="0.2">
      <c r="A198" s="78"/>
      <c r="B198" s="78"/>
      <c r="C198" s="78"/>
      <c r="D198" s="78"/>
      <c r="E198" s="78"/>
      <c r="F198" s="78"/>
      <c r="G198" s="78"/>
      <c r="H198" s="80"/>
      <c r="I198" s="80"/>
      <c r="J198" s="80"/>
      <c r="K198" s="80"/>
      <c r="L198" s="80"/>
      <c r="M198" s="80"/>
      <c r="N198" s="80"/>
      <c r="O198" s="80"/>
      <c r="P198" s="80"/>
      <c r="Q198" s="80"/>
      <c r="R198" s="80"/>
      <c r="S198" s="80"/>
      <c r="T198" s="81"/>
      <c r="U198" s="81"/>
      <c r="V198" s="81"/>
      <c r="W198" s="81"/>
      <c r="X198" s="81"/>
      <c r="Y198" s="81"/>
      <c r="Z198" s="82"/>
      <c r="AA198" s="15"/>
      <c r="AB198" s="15"/>
      <c r="AC198" s="15"/>
      <c r="AD198" s="15"/>
      <c r="AE198" s="15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</row>
    <row r="199" spans="1:43" s="8" customFormat="1" x14ac:dyDescent="0.2">
      <c r="A199" s="78"/>
      <c r="B199" s="78"/>
      <c r="C199" s="78"/>
      <c r="D199" s="78"/>
      <c r="E199" s="78"/>
      <c r="F199" s="78"/>
      <c r="G199" s="78"/>
      <c r="H199" s="80"/>
      <c r="I199" s="80"/>
      <c r="J199" s="80"/>
      <c r="K199" s="80"/>
      <c r="L199" s="80"/>
      <c r="M199" s="80"/>
      <c r="N199" s="80"/>
      <c r="O199" s="80"/>
      <c r="P199" s="80"/>
      <c r="Q199" s="80"/>
      <c r="R199" s="80"/>
      <c r="S199" s="80"/>
      <c r="T199" s="81"/>
      <c r="U199" s="81"/>
      <c r="V199" s="81"/>
      <c r="W199" s="81"/>
      <c r="X199" s="81"/>
      <c r="Y199" s="81"/>
      <c r="Z199" s="82"/>
      <c r="AA199" s="15"/>
      <c r="AB199" s="15"/>
      <c r="AC199" s="15"/>
      <c r="AD199" s="15"/>
      <c r="AE199" s="15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</row>
    <row r="200" spans="1:43" s="8" customFormat="1" x14ac:dyDescent="0.2">
      <c r="A200" s="78"/>
      <c r="B200" s="78"/>
      <c r="C200" s="78"/>
      <c r="D200" s="78"/>
      <c r="E200" s="78"/>
      <c r="F200" s="78"/>
      <c r="G200" s="78"/>
      <c r="H200" s="80"/>
      <c r="I200" s="80"/>
      <c r="J200" s="80"/>
      <c r="K200" s="80"/>
      <c r="L200" s="80"/>
      <c r="M200" s="80"/>
      <c r="N200" s="80"/>
      <c r="O200" s="80"/>
      <c r="P200" s="80"/>
      <c r="Q200" s="80"/>
      <c r="R200" s="80"/>
      <c r="S200" s="80"/>
      <c r="T200" s="81"/>
      <c r="U200" s="81"/>
      <c r="V200" s="81"/>
      <c r="W200" s="81"/>
      <c r="X200" s="81"/>
      <c r="Y200" s="81"/>
      <c r="Z200" s="82"/>
      <c r="AA200" s="15"/>
      <c r="AB200" s="15"/>
      <c r="AC200" s="15"/>
      <c r="AD200" s="15"/>
      <c r="AE200" s="15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</row>
    <row r="201" spans="1:43" s="8" customFormat="1" x14ac:dyDescent="0.2">
      <c r="A201" s="78"/>
      <c r="B201" s="78"/>
      <c r="C201" s="78"/>
      <c r="D201" s="78"/>
      <c r="E201" s="78"/>
      <c r="F201" s="78"/>
      <c r="G201" s="78"/>
      <c r="H201" s="80"/>
      <c r="I201" s="80"/>
      <c r="J201" s="80"/>
      <c r="K201" s="80"/>
      <c r="L201" s="80"/>
      <c r="M201" s="80"/>
      <c r="N201" s="80"/>
      <c r="O201" s="80"/>
      <c r="P201" s="80"/>
      <c r="Q201" s="80"/>
      <c r="R201" s="80"/>
      <c r="S201" s="80"/>
      <c r="T201" s="81"/>
      <c r="U201" s="81"/>
      <c r="V201" s="81"/>
      <c r="W201" s="81"/>
      <c r="X201" s="81"/>
      <c r="Y201" s="81"/>
      <c r="Z201" s="82"/>
      <c r="AA201" s="15"/>
      <c r="AB201" s="15"/>
      <c r="AC201" s="15"/>
      <c r="AD201" s="15"/>
      <c r="AE201" s="15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</row>
    <row r="202" spans="1:43" s="8" customFormat="1" x14ac:dyDescent="0.2">
      <c r="A202" s="78"/>
      <c r="B202" s="78"/>
      <c r="C202" s="78"/>
      <c r="D202" s="78"/>
      <c r="E202" s="78"/>
      <c r="F202" s="78"/>
      <c r="G202" s="78"/>
      <c r="H202" s="80"/>
      <c r="I202" s="80"/>
      <c r="J202" s="80"/>
      <c r="K202" s="80"/>
      <c r="L202" s="80"/>
      <c r="M202" s="80"/>
      <c r="N202" s="80"/>
      <c r="O202" s="80"/>
      <c r="P202" s="80"/>
      <c r="Q202" s="80"/>
      <c r="R202" s="80"/>
      <c r="S202" s="80"/>
      <c r="T202" s="81"/>
      <c r="U202" s="81"/>
      <c r="V202" s="81"/>
      <c r="W202" s="81"/>
      <c r="X202" s="81"/>
      <c r="Y202" s="81"/>
      <c r="Z202" s="82"/>
      <c r="AA202" s="15"/>
      <c r="AB202" s="15"/>
      <c r="AC202" s="15"/>
      <c r="AD202" s="15"/>
      <c r="AE202" s="15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</row>
    <row r="203" spans="1:43" s="8" customFormat="1" x14ac:dyDescent="0.2">
      <c r="A203" s="78"/>
      <c r="B203" s="78"/>
      <c r="C203" s="78"/>
      <c r="D203" s="78"/>
      <c r="E203" s="78"/>
      <c r="F203" s="78"/>
      <c r="G203" s="78"/>
      <c r="H203" s="80"/>
      <c r="I203" s="80"/>
      <c r="J203" s="80"/>
      <c r="K203" s="80"/>
      <c r="L203" s="80"/>
      <c r="M203" s="80"/>
      <c r="N203" s="80"/>
      <c r="O203" s="80"/>
      <c r="P203" s="80"/>
      <c r="Q203" s="80"/>
      <c r="R203" s="80"/>
      <c r="S203" s="80"/>
      <c r="T203" s="81"/>
      <c r="U203" s="81"/>
      <c r="V203" s="81"/>
      <c r="W203" s="81"/>
      <c r="X203" s="81"/>
      <c r="Y203" s="81"/>
      <c r="Z203" s="82"/>
      <c r="AA203" s="15"/>
      <c r="AB203" s="15"/>
      <c r="AC203" s="15"/>
      <c r="AD203" s="15"/>
      <c r="AE203" s="15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</row>
    <row r="204" spans="1:43" s="8" customFormat="1" x14ac:dyDescent="0.2">
      <c r="A204" s="78"/>
      <c r="B204" s="78"/>
      <c r="C204" s="78"/>
      <c r="D204" s="78"/>
      <c r="E204" s="78"/>
      <c r="F204" s="78"/>
      <c r="G204" s="78"/>
      <c r="H204" s="80"/>
      <c r="I204" s="80"/>
      <c r="J204" s="80"/>
      <c r="K204" s="80"/>
      <c r="L204" s="80"/>
      <c r="M204" s="80"/>
      <c r="N204" s="80"/>
      <c r="O204" s="80"/>
      <c r="P204" s="80"/>
      <c r="Q204" s="80"/>
      <c r="R204" s="80"/>
      <c r="S204" s="80"/>
      <c r="T204" s="81"/>
      <c r="U204" s="81"/>
      <c r="V204" s="81"/>
      <c r="W204" s="81"/>
      <c r="X204" s="81"/>
      <c r="Y204" s="81"/>
      <c r="Z204" s="82"/>
      <c r="AA204" s="15"/>
      <c r="AB204" s="15"/>
      <c r="AC204" s="15"/>
      <c r="AD204" s="15"/>
      <c r="AE204" s="15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</row>
    <row r="205" spans="1:43" s="8" customFormat="1" x14ac:dyDescent="0.2">
      <c r="A205" s="78"/>
      <c r="B205" s="78"/>
      <c r="C205" s="78"/>
      <c r="D205" s="78"/>
      <c r="E205" s="78"/>
      <c r="F205" s="78"/>
      <c r="G205" s="78"/>
      <c r="H205" s="80"/>
      <c r="I205" s="80"/>
      <c r="J205" s="80"/>
      <c r="K205" s="80"/>
      <c r="L205" s="80"/>
      <c r="M205" s="80"/>
      <c r="N205" s="80"/>
      <c r="O205" s="80"/>
      <c r="P205" s="80"/>
      <c r="Q205" s="80"/>
      <c r="R205" s="80"/>
      <c r="S205" s="80"/>
      <c r="T205" s="81"/>
      <c r="U205" s="81"/>
      <c r="V205" s="81"/>
      <c r="W205" s="81"/>
      <c r="X205" s="81"/>
      <c r="Y205" s="81"/>
      <c r="Z205" s="82"/>
      <c r="AA205" s="15"/>
      <c r="AB205" s="15"/>
      <c r="AC205" s="15"/>
      <c r="AD205" s="15"/>
      <c r="AE205" s="15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</row>
    <row r="206" spans="1:43" s="8" customFormat="1" x14ac:dyDescent="0.2">
      <c r="A206" s="78"/>
      <c r="B206" s="78"/>
      <c r="C206" s="78"/>
      <c r="D206" s="78"/>
      <c r="E206" s="78"/>
      <c r="F206" s="78"/>
      <c r="G206" s="78"/>
      <c r="H206" s="80"/>
      <c r="I206" s="80"/>
      <c r="J206" s="80"/>
      <c r="K206" s="80"/>
      <c r="L206" s="80"/>
      <c r="M206" s="80"/>
      <c r="N206" s="80"/>
      <c r="O206" s="80"/>
      <c r="P206" s="80"/>
      <c r="Q206" s="80"/>
      <c r="R206" s="80"/>
      <c r="S206" s="80"/>
      <c r="T206" s="81"/>
      <c r="U206" s="81"/>
      <c r="V206" s="81"/>
      <c r="W206" s="81"/>
      <c r="X206" s="81"/>
      <c r="Y206" s="81"/>
      <c r="Z206" s="82"/>
      <c r="AA206" s="15"/>
      <c r="AB206" s="15"/>
      <c r="AC206" s="15"/>
      <c r="AD206" s="15"/>
      <c r="AE206" s="15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</row>
    <row r="207" spans="1:43" s="8" customFormat="1" x14ac:dyDescent="0.2">
      <c r="A207" s="78"/>
      <c r="B207" s="78"/>
      <c r="C207" s="78"/>
      <c r="D207" s="78"/>
      <c r="E207" s="78"/>
      <c r="F207" s="78"/>
      <c r="G207" s="78"/>
      <c r="H207" s="80"/>
      <c r="I207" s="80"/>
      <c r="J207" s="80"/>
      <c r="K207" s="80"/>
      <c r="L207" s="80"/>
      <c r="M207" s="80"/>
      <c r="N207" s="80"/>
      <c r="O207" s="80"/>
      <c r="P207" s="80"/>
      <c r="Q207" s="80"/>
      <c r="R207" s="80"/>
      <c r="S207" s="80"/>
      <c r="T207" s="81"/>
      <c r="U207" s="81"/>
      <c r="V207" s="81"/>
      <c r="W207" s="81"/>
      <c r="X207" s="81"/>
      <c r="Y207" s="81"/>
      <c r="Z207" s="82"/>
      <c r="AA207" s="15"/>
      <c r="AB207" s="15"/>
      <c r="AC207" s="15"/>
      <c r="AD207" s="15"/>
      <c r="AE207" s="15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</row>
    <row r="208" spans="1:43" s="8" customFormat="1" x14ac:dyDescent="0.2">
      <c r="A208" s="78"/>
      <c r="B208" s="78"/>
      <c r="C208" s="78"/>
      <c r="D208" s="78"/>
      <c r="E208" s="78"/>
      <c r="F208" s="78"/>
      <c r="G208" s="78"/>
      <c r="H208" s="80"/>
      <c r="I208" s="80"/>
      <c r="J208" s="80"/>
      <c r="K208" s="80"/>
      <c r="L208" s="80"/>
      <c r="M208" s="80"/>
      <c r="N208" s="80"/>
      <c r="O208" s="80"/>
      <c r="P208" s="80"/>
      <c r="Q208" s="80"/>
      <c r="R208" s="80"/>
      <c r="S208" s="80"/>
      <c r="T208" s="81"/>
      <c r="U208" s="81"/>
      <c r="V208" s="81"/>
      <c r="W208" s="81"/>
      <c r="X208" s="81"/>
      <c r="Y208" s="81"/>
      <c r="Z208" s="82"/>
      <c r="AA208" s="15"/>
      <c r="AB208" s="15"/>
      <c r="AC208" s="15"/>
      <c r="AD208" s="15"/>
      <c r="AE208" s="15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</row>
    <row r="209" spans="1:43" s="8" customFormat="1" x14ac:dyDescent="0.2">
      <c r="A209" s="78"/>
      <c r="B209" s="78"/>
      <c r="C209" s="78"/>
      <c r="D209" s="78"/>
      <c r="E209" s="78"/>
      <c r="F209" s="78"/>
      <c r="G209" s="78"/>
      <c r="H209" s="80"/>
      <c r="I209" s="80"/>
      <c r="J209" s="80"/>
      <c r="K209" s="80"/>
      <c r="L209" s="80"/>
      <c r="M209" s="80"/>
      <c r="N209" s="80"/>
      <c r="O209" s="80"/>
      <c r="P209" s="80"/>
      <c r="Q209" s="80"/>
      <c r="R209" s="80"/>
      <c r="S209" s="80"/>
      <c r="T209" s="81"/>
      <c r="U209" s="81"/>
      <c r="V209" s="81"/>
      <c r="W209" s="81"/>
      <c r="X209" s="81"/>
      <c r="Y209" s="81"/>
      <c r="Z209" s="82"/>
      <c r="AA209" s="15"/>
      <c r="AB209" s="15"/>
      <c r="AC209" s="15"/>
      <c r="AD209" s="15"/>
      <c r="AE209" s="15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</row>
    <row r="210" spans="1:43" s="8" customFormat="1" x14ac:dyDescent="0.2">
      <c r="A210" s="78"/>
      <c r="B210" s="78"/>
      <c r="C210" s="78"/>
      <c r="D210" s="78"/>
      <c r="E210" s="78"/>
      <c r="F210" s="78"/>
      <c r="G210" s="78"/>
      <c r="H210" s="80"/>
      <c r="I210" s="80"/>
      <c r="J210" s="80"/>
      <c r="K210" s="80"/>
      <c r="L210" s="80"/>
      <c r="M210" s="80"/>
      <c r="N210" s="80"/>
      <c r="O210" s="80"/>
      <c r="P210" s="80"/>
      <c r="Q210" s="80"/>
      <c r="R210" s="80"/>
      <c r="S210" s="80"/>
      <c r="T210" s="81"/>
      <c r="U210" s="81"/>
      <c r="V210" s="81"/>
      <c r="W210" s="81"/>
      <c r="X210" s="81"/>
      <c r="Y210" s="81"/>
      <c r="Z210" s="82"/>
      <c r="AA210" s="15"/>
      <c r="AB210" s="15"/>
      <c r="AC210" s="15"/>
      <c r="AD210" s="15"/>
      <c r="AE210" s="15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</row>
    <row r="211" spans="1:43" s="8" customFormat="1" x14ac:dyDescent="0.2">
      <c r="A211" s="78"/>
      <c r="B211" s="78"/>
      <c r="C211" s="78"/>
      <c r="D211" s="78"/>
      <c r="E211" s="78"/>
      <c r="F211" s="78"/>
      <c r="G211" s="78"/>
      <c r="H211" s="80"/>
      <c r="I211" s="80"/>
      <c r="J211" s="80"/>
      <c r="K211" s="80"/>
      <c r="L211" s="80"/>
      <c r="M211" s="80"/>
      <c r="N211" s="80"/>
      <c r="O211" s="80"/>
      <c r="P211" s="80"/>
      <c r="Q211" s="80"/>
      <c r="R211" s="80"/>
      <c r="S211" s="80"/>
      <c r="T211" s="81"/>
      <c r="U211" s="81"/>
      <c r="V211" s="81"/>
      <c r="W211" s="81"/>
      <c r="X211" s="81"/>
      <c r="Y211" s="81"/>
      <c r="Z211" s="82"/>
      <c r="AA211" s="15"/>
      <c r="AB211" s="15"/>
      <c r="AC211" s="15"/>
      <c r="AD211" s="15"/>
      <c r="AE211" s="15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</row>
    <row r="212" spans="1:43" s="8" customFormat="1" x14ac:dyDescent="0.2">
      <c r="A212" s="78"/>
      <c r="B212" s="78"/>
      <c r="C212" s="78"/>
      <c r="D212" s="78"/>
      <c r="E212" s="78"/>
      <c r="F212" s="78"/>
      <c r="G212" s="78"/>
      <c r="H212" s="80"/>
      <c r="I212" s="80"/>
      <c r="J212" s="80"/>
      <c r="K212" s="80"/>
      <c r="L212" s="80"/>
      <c r="M212" s="80"/>
      <c r="N212" s="80"/>
      <c r="O212" s="80"/>
      <c r="P212" s="80"/>
      <c r="Q212" s="80"/>
      <c r="R212" s="80"/>
      <c r="S212" s="80"/>
      <c r="T212" s="81"/>
      <c r="U212" s="81"/>
      <c r="V212" s="81"/>
      <c r="W212" s="81"/>
      <c r="X212" s="81"/>
      <c r="Y212" s="81"/>
      <c r="Z212" s="82"/>
      <c r="AA212" s="15"/>
      <c r="AB212" s="15"/>
      <c r="AC212" s="15"/>
      <c r="AD212" s="15"/>
      <c r="AE212" s="15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</row>
    <row r="213" spans="1:43" s="8" customFormat="1" x14ac:dyDescent="0.2">
      <c r="A213" s="78"/>
      <c r="B213" s="78"/>
      <c r="C213" s="78"/>
      <c r="D213" s="78"/>
      <c r="E213" s="78"/>
      <c r="F213" s="78"/>
      <c r="G213" s="78"/>
      <c r="H213" s="80"/>
      <c r="I213" s="80"/>
      <c r="J213" s="80"/>
      <c r="K213" s="80"/>
      <c r="L213" s="80"/>
      <c r="M213" s="80"/>
      <c r="N213" s="80"/>
      <c r="O213" s="80"/>
      <c r="P213" s="80"/>
      <c r="Q213" s="80"/>
      <c r="R213" s="80"/>
      <c r="S213" s="80"/>
      <c r="T213" s="81"/>
      <c r="U213" s="81"/>
      <c r="V213" s="81"/>
      <c r="W213" s="81"/>
      <c r="X213" s="81"/>
      <c r="Y213" s="81"/>
      <c r="Z213" s="82"/>
      <c r="AA213" s="15"/>
      <c r="AB213" s="15"/>
      <c r="AC213" s="15"/>
      <c r="AD213" s="15"/>
      <c r="AE213" s="15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</row>
    <row r="214" spans="1:43" s="8" customFormat="1" x14ac:dyDescent="0.2">
      <c r="A214" s="78"/>
      <c r="B214" s="78"/>
      <c r="C214" s="78"/>
      <c r="D214" s="78"/>
      <c r="E214" s="78"/>
      <c r="F214" s="78"/>
      <c r="G214" s="78"/>
      <c r="H214" s="80"/>
      <c r="I214" s="80"/>
      <c r="J214" s="80"/>
      <c r="K214" s="80"/>
      <c r="L214" s="80"/>
      <c r="M214" s="80"/>
      <c r="N214" s="80"/>
      <c r="O214" s="80"/>
      <c r="P214" s="80"/>
      <c r="Q214" s="80"/>
      <c r="R214" s="80"/>
      <c r="S214" s="80"/>
      <c r="T214" s="81"/>
      <c r="U214" s="81"/>
      <c r="V214" s="81"/>
      <c r="W214" s="81"/>
      <c r="X214" s="81"/>
      <c r="Y214" s="81"/>
      <c r="Z214" s="82"/>
      <c r="AA214" s="15"/>
      <c r="AB214" s="15"/>
      <c r="AC214" s="15"/>
      <c r="AD214" s="15"/>
      <c r="AE214" s="15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</row>
    <row r="215" spans="1:43" s="8" customFormat="1" x14ac:dyDescent="0.2">
      <c r="A215" s="78"/>
      <c r="B215" s="78"/>
      <c r="C215" s="78"/>
      <c r="D215" s="78"/>
      <c r="E215" s="78"/>
      <c r="F215" s="78"/>
      <c r="G215" s="78"/>
      <c r="H215" s="80"/>
      <c r="I215" s="80"/>
      <c r="J215" s="80"/>
      <c r="K215" s="80"/>
      <c r="L215" s="80"/>
      <c r="M215" s="80"/>
      <c r="N215" s="80"/>
      <c r="O215" s="80"/>
      <c r="P215" s="80"/>
      <c r="Q215" s="80"/>
      <c r="R215" s="80"/>
      <c r="S215" s="80"/>
      <c r="T215" s="81"/>
      <c r="U215" s="81"/>
      <c r="V215" s="81"/>
      <c r="W215" s="81"/>
      <c r="X215" s="81"/>
      <c r="Y215" s="81"/>
      <c r="Z215" s="82"/>
      <c r="AA215" s="15"/>
      <c r="AB215" s="15"/>
      <c r="AC215" s="15"/>
      <c r="AD215" s="15"/>
      <c r="AE215" s="15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</row>
    <row r="216" spans="1:43" s="8" customFormat="1" x14ac:dyDescent="0.2">
      <c r="A216" s="78"/>
      <c r="B216" s="78"/>
      <c r="C216" s="78"/>
      <c r="D216" s="78"/>
      <c r="E216" s="78"/>
      <c r="F216" s="78"/>
      <c r="G216" s="78"/>
      <c r="H216" s="80"/>
      <c r="I216" s="80"/>
      <c r="J216" s="80"/>
      <c r="K216" s="80"/>
      <c r="L216" s="80"/>
      <c r="M216" s="80"/>
      <c r="N216" s="80"/>
      <c r="O216" s="80"/>
      <c r="P216" s="80"/>
      <c r="Q216" s="80"/>
      <c r="R216" s="80"/>
      <c r="S216" s="80"/>
      <c r="T216" s="81"/>
      <c r="U216" s="81"/>
      <c r="V216" s="81"/>
      <c r="W216" s="81"/>
      <c r="X216" s="81"/>
      <c r="Y216" s="81"/>
      <c r="Z216" s="82"/>
      <c r="AA216" s="15"/>
      <c r="AB216" s="15"/>
      <c r="AC216" s="15"/>
      <c r="AD216" s="15"/>
      <c r="AE216" s="15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</row>
    <row r="217" spans="1:43" s="8" customFormat="1" x14ac:dyDescent="0.2">
      <c r="A217" s="78"/>
      <c r="B217" s="78"/>
      <c r="C217" s="78"/>
      <c r="D217" s="78"/>
      <c r="E217" s="78"/>
      <c r="F217" s="78"/>
      <c r="G217" s="78"/>
      <c r="H217" s="80"/>
      <c r="I217" s="80"/>
      <c r="J217" s="80"/>
      <c r="K217" s="80"/>
      <c r="L217" s="80"/>
      <c r="M217" s="80"/>
      <c r="N217" s="80"/>
      <c r="O217" s="80"/>
      <c r="P217" s="80"/>
      <c r="Q217" s="80"/>
      <c r="R217" s="80"/>
      <c r="S217" s="80"/>
      <c r="T217" s="81"/>
      <c r="U217" s="81"/>
      <c r="V217" s="81"/>
      <c r="W217" s="81"/>
      <c r="X217" s="81"/>
      <c r="Y217" s="81"/>
      <c r="Z217" s="82"/>
      <c r="AA217" s="15"/>
      <c r="AB217" s="15"/>
      <c r="AC217" s="15"/>
      <c r="AD217" s="15"/>
      <c r="AE217" s="15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</row>
    <row r="218" spans="1:43" s="8" customFormat="1" x14ac:dyDescent="0.2">
      <c r="A218" s="78"/>
      <c r="B218" s="78"/>
      <c r="C218" s="78"/>
      <c r="D218" s="78"/>
      <c r="E218" s="78"/>
      <c r="F218" s="78"/>
      <c r="G218" s="78"/>
      <c r="H218" s="80"/>
      <c r="I218" s="80"/>
      <c r="J218" s="80"/>
      <c r="K218" s="80"/>
      <c r="L218" s="80"/>
      <c r="M218" s="80"/>
      <c r="N218" s="80"/>
      <c r="O218" s="80"/>
      <c r="P218" s="80"/>
      <c r="Q218" s="80"/>
      <c r="R218" s="80"/>
      <c r="S218" s="80"/>
      <c r="T218" s="81"/>
      <c r="U218" s="81"/>
      <c r="V218" s="81"/>
      <c r="W218" s="81"/>
      <c r="X218" s="81"/>
      <c r="Y218" s="81"/>
      <c r="Z218" s="82"/>
      <c r="AA218" s="15"/>
      <c r="AB218" s="15"/>
      <c r="AC218" s="15"/>
      <c r="AD218" s="15"/>
      <c r="AE218" s="15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</row>
    <row r="219" spans="1:43" s="8" customFormat="1" x14ac:dyDescent="0.2">
      <c r="A219" s="78"/>
      <c r="B219" s="78"/>
      <c r="C219" s="78"/>
      <c r="D219" s="78"/>
      <c r="E219" s="78"/>
      <c r="F219" s="78"/>
      <c r="G219" s="78"/>
      <c r="H219" s="80"/>
      <c r="I219" s="80"/>
      <c r="J219" s="80"/>
      <c r="K219" s="80"/>
      <c r="L219" s="80"/>
      <c r="M219" s="80"/>
      <c r="N219" s="80"/>
      <c r="O219" s="80"/>
      <c r="P219" s="80"/>
      <c r="Q219" s="80"/>
      <c r="R219" s="80"/>
      <c r="S219" s="80"/>
      <c r="T219" s="81"/>
      <c r="U219" s="81"/>
      <c r="V219" s="81"/>
      <c r="W219" s="81"/>
      <c r="X219" s="81"/>
      <c r="Y219" s="81"/>
      <c r="Z219" s="82"/>
      <c r="AA219" s="15"/>
      <c r="AB219" s="15"/>
      <c r="AC219" s="15"/>
      <c r="AD219" s="15"/>
      <c r="AE219" s="15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</row>
    <row r="220" spans="1:43" s="8" customFormat="1" x14ac:dyDescent="0.2">
      <c r="A220" s="78"/>
      <c r="B220" s="78"/>
      <c r="C220" s="78"/>
      <c r="D220" s="78"/>
      <c r="E220" s="78"/>
      <c r="F220" s="78"/>
      <c r="G220" s="78"/>
      <c r="H220" s="80"/>
      <c r="I220" s="80"/>
      <c r="J220" s="80"/>
      <c r="K220" s="80"/>
      <c r="L220" s="80"/>
      <c r="M220" s="80"/>
      <c r="N220" s="80"/>
      <c r="O220" s="80"/>
      <c r="P220" s="80"/>
      <c r="Q220" s="80"/>
      <c r="R220" s="80"/>
      <c r="S220" s="80"/>
      <c r="T220" s="81"/>
      <c r="U220" s="81"/>
      <c r="V220" s="81"/>
      <c r="W220" s="81"/>
      <c r="X220" s="81"/>
      <c r="Y220" s="81"/>
      <c r="Z220" s="82"/>
      <c r="AA220" s="15"/>
      <c r="AB220" s="15"/>
      <c r="AC220" s="15"/>
      <c r="AD220" s="15"/>
      <c r="AE220" s="15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</row>
    <row r="221" spans="1:43" s="8" customFormat="1" x14ac:dyDescent="0.2">
      <c r="A221" s="78"/>
      <c r="B221" s="78"/>
      <c r="C221" s="78"/>
      <c r="D221" s="78"/>
      <c r="E221" s="78"/>
      <c r="F221" s="78"/>
      <c r="G221" s="78"/>
      <c r="H221" s="80"/>
      <c r="I221" s="80"/>
      <c r="J221" s="80"/>
      <c r="K221" s="80"/>
      <c r="L221" s="80"/>
      <c r="M221" s="80"/>
      <c r="N221" s="80"/>
      <c r="O221" s="80"/>
      <c r="P221" s="80"/>
      <c r="Q221" s="80"/>
      <c r="R221" s="80"/>
      <c r="S221" s="80"/>
      <c r="T221" s="81"/>
      <c r="U221" s="81"/>
      <c r="V221" s="81"/>
      <c r="W221" s="81"/>
      <c r="X221" s="81"/>
      <c r="Y221" s="81"/>
      <c r="Z221" s="82"/>
      <c r="AA221" s="15"/>
      <c r="AB221" s="15"/>
      <c r="AC221" s="15"/>
      <c r="AD221" s="15"/>
      <c r="AE221" s="15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</row>
    <row r="222" spans="1:43" s="8" customFormat="1" x14ac:dyDescent="0.2">
      <c r="A222" s="78"/>
      <c r="B222" s="78"/>
      <c r="C222" s="78"/>
      <c r="D222" s="78"/>
      <c r="E222" s="78"/>
      <c r="F222" s="78"/>
      <c r="G222" s="78"/>
      <c r="H222" s="80"/>
      <c r="I222" s="80"/>
      <c r="J222" s="80"/>
      <c r="K222" s="80"/>
      <c r="L222" s="80"/>
      <c r="M222" s="80"/>
      <c r="N222" s="80"/>
      <c r="O222" s="80"/>
      <c r="P222" s="80"/>
      <c r="Q222" s="80"/>
      <c r="R222" s="80"/>
      <c r="S222" s="80"/>
      <c r="T222" s="81"/>
      <c r="U222" s="81"/>
      <c r="V222" s="81"/>
      <c r="W222" s="81"/>
      <c r="X222" s="81"/>
      <c r="Y222" s="81"/>
      <c r="Z222" s="82"/>
      <c r="AA222" s="15"/>
      <c r="AB222" s="15"/>
      <c r="AC222" s="15"/>
      <c r="AD222" s="15"/>
      <c r="AE222" s="15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</row>
    <row r="223" spans="1:43" s="8" customFormat="1" x14ac:dyDescent="0.2">
      <c r="A223" s="78"/>
      <c r="B223" s="78"/>
      <c r="C223" s="78"/>
      <c r="D223" s="78"/>
      <c r="E223" s="78"/>
      <c r="F223" s="78"/>
      <c r="G223" s="78"/>
      <c r="H223" s="80"/>
      <c r="I223" s="80"/>
      <c r="J223" s="80"/>
      <c r="K223" s="80"/>
      <c r="L223" s="80"/>
      <c r="M223" s="80"/>
      <c r="N223" s="80"/>
      <c r="O223" s="80"/>
      <c r="P223" s="80"/>
      <c r="Q223" s="80"/>
      <c r="R223" s="80"/>
      <c r="S223" s="80"/>
      <c r="T223" s="81"/>
      <c r="U223" s="81"/>
      <c r="V223" s="81"/>
      <c r="W223" s="81"/>
      <c r="X223" s="81"/>
      <c r="Y223" s="81"/>
      <c r="Z223" s="82"/>
      <c r="AA223" s="15"/>
      <c r="AB223" s="15"/>
      <c r="AC223" s="15"/>
      <c r="AD223" s="15"/>
      <c r="AE223" s="15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</row>
    <row r="224" spans="1:43" s="8" customFormat="1" x14ac:dyDescent="0.2">
      <c r="A224" s="78"/>
      <c r="B224" s="78"/>
      <c r="C224" s="78"/>
      <c r="D224" s="78"/>
      <c r="E224" s="78"/>
      <c r="F224" s="78"/>
      <c r="G224" s="78"/>
      <c r="H224" s="80"/>
      <c r="I224" s="80"/>
      <c r="J224" s="80"/>
      <c r="K224" s="80"/>
      <c r="L224" s="80"/>
      <c r="M224" s="80"/>
      <c r="N224" s="80"/>
      <c r="O224" s="80"/>
      <c r="P224" s="80"/>
      <c r="Q224" s="80"/>
      <c r="R224" s="80"/>
      <c r="S224" s="80"/>
      <c r="T224" s="81"/>
      <c r="U224" s="81"/>
      <c r="V224" s="81"/>
      <c r="W224" s="81"/>
      <c r="X224" s="81"/>
      <c r="Y224" s="81"/>
      <c r="Z224" s="82"/>
      <c r="AA224" s="15"/>
      <c r="AB224" s="15"/>
      <c r="AC224" s="15"/>
      <c r="AD224" s="15"/>
      <c r="AE224" s="15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</row>
    <row r="225" spans="1:43" s="8" customFormat="1" x14ac:dyDescent="0.2">
      <c r="A225" s="78"/>
      <c r="B225" s="78"/>
      <c r="C225" s="78"/>
      <c r="D225" s="78"/>
      <c r="E225" s="78"/>
      <c r="F225" s="78"/>
      <c r="G225" s="78"/>
      <c r="H225" s="80"/>
      <c r="I225" s="80"/>
      <c r="J225" s="80"/>
      <c r="K225" s="80"/>
      <c r="L225" s="80"/>
      <c r="M225" s="80"/>
      <c r="N225" s="80"/>
      <c r="O225" s="80"/>
      <c r="P225" s="80"/>
      <c r="Q225" s="80"/>
      <c r="R225" s="80"/>
      <c r="S225" s="80"/>
      <c r="T225" s="81"/>
      <c r="U225" s="81"/>
      <c r="V225" s="81"/>
      <c r="W225" s="81"/>
      <c r="X225" s="81"/>
      <c r="Y225" s="81"/>
      <c r="Z225" s="82"/>
      <c r="AA225" s="15"/>
      <c r="AB225" s="15"/>
      <c r="AC225" s="15"/>
      <c r="AD225" s="15"/>
      <c r="AE225" s="15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</row>
    <row r="226" spans="1:43" s="8" customFormat="1" x14ac:dyDescent="0.2">
      <c r="A226" s="78"/>
      <c r="B226" s="78"/>
      <c r="C226" s="78"/>
      <c r="D226" s="78"/>
      <c r="E226" s="78"/>
      <c r="F226" s="78"/>
      <c r="G226" s="78"/>
      <c r="H226" s="80"/>
      <c r="I226" s="80"/>
      <c r="J226" s="80"/>
      <c r="K226" s="80"/>
      <c r="L226" s="80"/>
      <c r="M226" s="80"/>
      <c r="N226" s="80"/>
      <c r="O226" s="80"/>
      <c r="P226" s="80"/>
      <c r="Q226" s="80"/>
      <c r="R226" s="80"/>
      <c r="S226" s="80"/>
      <c r="T226" s="81"/>
      <c r="U226" s="81"/>
      <c r="V226" s="81"/>
      <c r="W226" s="81"/>
      <c r="X226" s="81"/>
      <c r="Y226" s="81"/>
      <c r="Z226" s="82"/>
      <c r="AA226" s="15"/>
      <c r="AB226" s="15"/>
      <c r="AC226" s="15"/>
      <c r="AD226" s="15"/>
      <c r="AE226" s="15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</row>
    <row r="227" spans="1:43" s="8" customFormat="1" x14ac:dyDescent="0.2">
      <c r="A227" s="78"/>
      <c r="B227" s="78"/>
      <c r="C227" s="78"/>
      <c r="D227" s="78"/>
      <c r="E227" s="78"/>
      <c r="F227" s="78"/>
      <c r="G227" s="78"/>
      <c r="H227" s="80"/>
      <c r="I227" s="80"/>
      <c r="J227" s="80"/>
      <c r="K227" s="80"/>
      <c r="L227" s="80"/>
      <c r="M227" s="80"/>
      <c r="N227" s="80"/>
      <c r="O227" s="80"/>
      <c r="P227" s="80"/>
      <c r="Q227" s="80"/>
      <c r="R227" s="80"/>
      <c r="S227" s="80"/>
      <c r="T227" s="81"/>
      <c r="U227" s="81"/>
      <c r="V227" s="81"/>
      <c r="W227" s="81"/>
      <c r="X227" s="81"/>
      <c r="Y227" s="81"/>
      <c r="Z227" s="82"/>
      <c r="AA227" s="15"/>
      <c r="AB227" s="15"/>
      <c r="AC227" s="15"/>
      <c r="AD227" s="15"/>
      <c r="AE227" s="15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</row>
    <row r="228" spans="1:43" s="8" customFormat="1" x14ac:dyDescent="0.2">
      <c r="A228" s="78"/>
      <c r="B228" s="78"/>
      <c r="C228" s="78"/>
      <c r="D228" s="78"/>
      <c r="E228" s="78"/>
      <c r="F228" s="78"/>
      <c r="G228" s="78"/>
      <c r="H228" s="80"/>
      <c r="I228" s="80"/>
      <c r="J228" s="80"/>
      <c r="K228" s="80"/>
      <c r="L228" s="80"/>
      <c r="M228" s="80"/>
      <c r="N228" s="80"/>
      <c r="O228" s="80"/>
      <c r="P228" s="80"/>
      <c r="Q228" s="80"/>
      <c r="R228" s="80"/>
      <c r="S228" s="80"/>
      <c r="T228" s="81"/>
      <c r="U228" s="81"/>
      <c r="V228" s="81"/>
      <c r="W228" s="81"/>
      <c r="X228" s="81"/>
      <c r="Y228" s="81"/>
      <c r="Z228" s="82"/>
      <c r="AA228" s="15"/>
      <c r="AB228" s="15"/>
      <c r="AC228" s="15"/>
      <c r="AD228" s="15"/>
      <c r="AE228" s="15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</row>
    <row r="229" spans="1:43" s="8" customFormat="1" x14ac:dyDescent="0.2">
      <c r="A229" s="78"/>
      <c r="B229" s="78"/>
      <c r="C229" s="78"/>
      <c r="D229" s="78"/>
      <c r="E229" s="78"/>
      <c r="F229" s="78"/>
      <c r="G229" s="78"/>
      <c r="H229" s="80"/>
      <c r="I229" s="80"/>
      <c r="J229" s="80"/>
      <c r="K229" s="80"/>
      <c r="L229" s="80"/>
      <c r="M229" s="80"/>
      <c r="N229" s="80"/>
      <c r="O229" s="80"/>
      <c r="P229" s="80"/>
      <c r="Q229" s="80"/>
      <c r="R229" s="80"/>
      <c r="S229" s="80"/>
      <c r="T229" s="81"/>
      <c r="U229" s="81"/>
      <c r="V229" s="81"/>
      <c r="W229" s="81"/>
      <c r="X229" s="81"/>
      <c r="Y229" s="81"/>
      <c r="Z229" s="82"/>
      <c r="AA229" s="15"/>
      <c r="AB229" s="15"/>
      <c r="AC229" s="15"/>
      <c r="AD229" s="15"/>
      <c r="AE229" s="15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</row>
    <row r="230" spans="1:43" s="8" customFormat="1" x14ac:dyDescent="0.2">
      <c r="A230" s="78"/>
      <c r="B230" s="78"/>
      <c r="C230" s="78"/>
      <c r="D230" s="78"/>
      <c r="E230" s="78"/>
      <c r="F230" s="78"/>
      <c r="G230" s="78"/>
      <c r="H230" s="80"/>
      <c r="I230" s="80"/>
      <c r="J230" s="80"/>
      <c r="K230" s="80"/>
      <c r="L230" s="80"/>
      <c r="M230" s="80"/>
      <c r="N230" s="80"/>
      <c r="O230" s="80"/>
      <c r="P230" s="80"/>
      <c r="Q230" s="80"/>
      <c r="R230" s="80"/>
      <c r="S230" s="80"/>
      <c r="T230" s="81"/>
      <c r="U230" s="81"/>
      <c r="V230" s="81"/>
      <c r="W230" s="81"/>
      <c r="X230" s="81"/>
      <c r="Y230" s="81"/>
      <c r="Z230" s="82"/>
      <c r="AA230" s="15"/>
      <c r="AB230" s="15"/>
      <c r="AC230" s="15"/>
      <c r="AD230" s="15"/>
      <c r="AE230" s="15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</row>
    <row r="231" spans="1:43" s="8" customFormat="1" x14ac:dyDescent="0.2">
      <c r="A231" s="78"/>
      <c r="B231" s="78"/>
      <c r="C231" s="78"/>
      <c r="D231" s="78"/>
      <c r="E231" s="78"/>
      <c r="F231" s="78"/>
      <c r="G231" s="78"/>
      <c r="H231" s="80"/>
      <c r="I231" s="80"/>
      <c r="J231" s="80"/>
      <c r="K231" s="80"/>
      <c r="L231" s="80"/>
      <c r="M231" s="80"/>
      <c r="N231" s="80"/>
      <c r="O231" s="80"/>
      <c r="P231" s="80"/>
      <c r="Q231" s="80"/>
      <c r="R231" s="80"/>
      <c r="S231" s="80"/>
      <c r="T231" s="81"/>
      <c r="U231" s="81"/>
      <c r="V231" s="81"/>
      <c r="W231" s="81"/>
      <c r="X231" s="81"/>
      <c r="Y231" s="81"/>
      <c r="Z231" s="82"/>
      <c r="AA231" s="15"/>
      <c r="AB231" s="15"/>
      <c r="AC231" s="15"/>
      <c r="AD231" s="15"/>
      <c r="AE231" s="15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</row>
    <row r="232" spans="1:43" s="8" customFormat="1" x14ac:dyDescent="0.2">
      <c r="A232" s="78"/>
      <c r="B232" s="78"/>
      <c r="C232" s="78"/>
      <c r="D232" s="78"/>
      <c r="E232" s="78"/>
      <c r="F232" s="78"/>
      <c r="G232" s="78"/>
      <c r="H232" s="80"/>
      <c r="I232" s="80"/>
      <c r="J232" s="80"/>
      <c r="K232" s="80"/>
      <c r="L232" s="80"/>
      <c r="M232" s="80"/>
      <c r="N232" s="80"/>
      <c r="O232" s="80"/>
      <c r="P232" s="80"/>
      <c r="Q232" s="80"/>
      <c r="R232" s="80"/>
      <c r="S232" s="80"/>
      <c r="T232" s="81"/>
      <c r="U232" s="81"/>
      <c r="V232" s="81"/>
      <c r="W232" s="81"/>
      <c r="X232" s="81"/>
      <c r="Y232" s="81"/>
      <c r="Z232" s="82"/>
      <c r="AA232" s="15"/>
      <c r="AB232" s="15"/>
      <c r="AC232" s="15"/>
      <c r="AD232" s="15"/>
      <c r="AE232" s="15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</row>
    <row r="233" spans="1:43" s="8" customFormat="1" x14ac:dyDescent="0.2">
      <c r="A233" s="78"/>
      <c r="B233" s="78"/>
      <c r="C233" s="78"/>
      <c r="D233" s="78"/>
      <c r="E233" s="78"/>
      <c r="F233" s="78"/>
      <c r="G233" s="78"/>
      <c r="H233" s="80"/>
      <c r="I233" s="80"/>
      <c r="J233" s="80"/>
      <c r="K233" s="80"/>
      <c r="L233" s="80"/>
      <c r="M233" s="80"/>
      <c r="N233" s="80"/>
      <c r="O233" s="80"/>
      <c r="P233" s="80"/>
      <c r="Q233" s="80"/>
      <c r="R233" s="80"/>
      <c r="S233" s="80"/>
      <c r="T233" s="81"/>
      <c r="U233" s="81"/>
      <c r="V233" s="81"/>
      <c r="W233" s="81"/>
      <c r="X233" s="81"/>
      <c r="Y233" s="81"/>
      <c r="Z233" s="82"/>
      <c r="AA233" s="15"/>
      <c r="AB233" s="15"/>
      <c r="AC233" s="15"/>
      <c r="AD233" s="15"/>
      <c r="AE233" s="15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</row>
    <row r="234" spans="1:43" s="8" customFormat="1" x14ac:dyDescent="0.2">
      <c r="A234" s="78"/>
      <c r="B234" s="78"/>
      <c r="C234" s="78"/>
      <c r="D234" s="78"/>
      <c r="E234" s="78"/>
      <c r="F234" s="78"/>
      <c r="G234" s="78"/>
      <c r="H234" s="80"/>
      <c r="I234" s="80"/>
      <c r="J234" s="80"/>
      <c r="K234" s="80"/>
      <c r="L234" s="80"/>
      <c r="M234" s="80"/>
      <c r="N234" s="80"/>
      <c r="O234" s="80"/>
      <c r="P234" s="80"/>
      <c r="Q234" s="80"/>
      <c r="R234" s="80"/>
      <c r="S234" s="80"/>
      <c r="T234" s="81"/>
      <c r="U234" s="81"/>
      <c r="V234" s="81"/>
      <c r="W234" s="81"/>
      <c r="X234" s="81"/>
      <c r="Y234" s="81"/>
      <c r="Z234" s="82"/>
      <c r="AA234" s="15"/>
      <c r="AB234" s="15"/>
      <c r="AC234" s="15"/>
      <c r="AD234" s="15"/>
      <c r="AE234" s="15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</row>
    <row r="235" spans="1:43" s="8" customFormat="1" x14ac:dyDescent="0.2">
      <c r="A235" s="78"/>
      <c r="B235" s="78"/>
      <c r="C235" s="78"/>
      <c r="D235" s="78"/>
      <c r="E235" s="78"/>
      <c r="F235" s="78"/>
      <c r="G235" s="78"/>
      <c r="H235" s="80"/>
      <c r="I235" s="80"/>
      <c r="J235" s="80"/>
      <c r="K235" s="80"/>
      <c r="L235" s="80"/>
      <c r="M235" s="80"/>
      <c r="N235" s="80"/>
      <c r="O235" s="80"/>
      <c r="P235" s="80"/>
      <c r="Q235" s="80"/>
      <c r="R235" s="80"/>
      <c r="S235" s="80"/>
      <c r="T235" s="81"/>
      <c r="U235" s="81"/>
      <c r="V235" s="81"/>
      <c r="W235" s="81"/>
      <c r="X235" s="81"/>
      <c r="Y235" s="81"/>
      <c r="Z235" s="82"/>
      <c r="AA235" s="15"/>
      <c r="AB235" s="15"/>
      <c r="AC235" s="15"/>
      <c r="AD235" s="15"/>
      <c r="AE235" s="15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</row>
    <row r="236" spans="1:43" s="8" customFormat="1" x14ac:dyDescent="0.2">
      <c r="A236" s="78"/>
      <c r="B236" s="78"/>
      <c r="C236" s="78"/>
      <c r="D236" s="78"/>
      <c r="E236" s="78"/>
      <c r="F236" s="78"/>
      <c r="G236" s="78"/>
      <c r="H236" s="80"/>
      <c r="I236" s="80"/>
      <c r="J236" s="80"/>
      <c r="K236" s="80"/>
      <c r="L236" s="80"/>
      <c r="M236" s="80"/>
      <c r="N236" s="80"/>
      <c r="O236" s="80"/>
      <c r="P236" s="80"/>
      <c r="Q236" s="80"/>
      <c r="R236" s="80"/>
      <c r="S236" s="80"/>
      <c r="T236" s="81"/>
      <c r="U236" s="81"/>
      <c r="V236" s="81"/>
      <c r="W236" s="81"/>
      <c r="X236" s="81"/>
      <c r="Y236" s="81"/>
      <c r="Z236" s="82"/>
      <c r="AA236" s="15"/>
      <c r="AB236" s="15"/>
      <c r="AC236" s="15"/>
      <c r="AD236" s="15"/>
      <c r="AE236" s="15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</row>
    <row r="237" spans="1:43" s="8" customFormat="1" x14ac:dyDescent="0.2">
      <c r="A237" s="78"/>
      <c r="B237" s="78"/>
      <c r="C237" s="78"/>
      <c r="D237" s="78"/>
      <c r="E237" s="78"/>
      <c r="F237" s="78"/>
      <c r="G237" s="78"/>
      <c r="H237" s="80"/>
      <c r="I237" s="80"/>
      <c r="J237" s="80"/>
      <c r="K237" s="80"/>
      <c r="L237" s="80"/>
      <c r="M237" s="80"/>
      <c r="N237" s="80"/>
      <c r="O237" s="80"/>
      <c r="P237" s="80"/>
      <c r="Q237" s="80"/>
      <c r="R237" s="80"/>
      <c r="S237" s="80"/>
      <c r="T237" s="81"/>
      <c r="U237" s="81"/>
      <c r="V237" s="81"/>
      <c r="W237" s="81"/>
      <c r="X237" s="81"/>
      <c r="Y237" s="81"/>
      <c r="Z237" s="82"/>
      <c r="AA237" s="15"/>
      <c r="AB237" s="15"/>
      <c r="AC237" s="15"/>
      <c r="AD237" s="15"/>
      <c r="AE237" s="15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</row>
    <row r="238" spans="1:43" s="8" customFormat="1" x14ac:dyDescent="0.2">
      <c r="A238" s="78"/>
      <c r="B238" s="78"/>
      <c r="C238" s="78"/>
      <c r="D238" s="78"/>
      <c r="E238" s="78"/>
      <c r="F238" s="78"/>
      <c r="G238" s="78"/>
      <c r="H238" s="80"/>
      <c r="I238" s="80"/>
      <c r="J238" s="80"/>
      <c r="K238" s="80"/>
      <c r="L238" s="80"/>
      <c r="M238" s="80"/>
      <c r="N238" s="80"/>
      <c r="O238" s="80"/>
      <c r="P238" s="80"/>
      <c r="Q238" s="80"/>
      <c r="R238" s="80"/>
      <c r="S238" s="80"/>
      <c r="T238" s="81"/>
      <c r="U238" s="81"/>
      <c r="V238" s="81"/>
      <c r="W238" s="81"/>
      <c r="X238" s="81"/>
      <c r="Y238" s="81"/>
      <c r="Z238" s="82"/>
      <c r="AA238" s="15"/>
      <c r="AB238" s="15"/>
      <c r="AC238" s="15"/>
      <c r="AD238" s="15"/>
      <c r="AE238" s="15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</row>
    <row r="239" spans="1:43" s="8" customFormat="1" x14ac:dyDescent="0.2">
      <c r="A239" s="78"/>
      <c r="B239" s="78"/>
      <c r="C239" s="78"/>
      <c r="D239" s="78"/>
      <c r="E239" s="78"/>
      <c r="F239" s="78"/>
      <c r="G239" s="78"/>
      <c r="H239" s="80"/>
      <c r="I239" s="80"/>
      <c r="J239" s="80"/>
      <c r="K239" s="80"/>
      <c r="L239" s="80"/>
      <c r="M239" s="80"/>
      <c r="N239" s="80"/>
      <c r="O239" s="80"/>
      <c r="P239" s="80"/>
      <c r="Q239" s="80"/>
      <c r="R239" s="80"/>
      <c r="S239" s="80"/>
      <c r="T239" s="81"/>
      <c r="U239" s="81"/>
      <c r="V239" s="81"/>
      <c r="W239" s="81"/>
      <c r="X239" s="81"/>
      <c r="Y239" s="81"/>
      <c r="Z239" s="82"/>
      <c r="AA239" s="15"/>
      <c r="AB239" s="15"/>
      <c r="AC239" s="15"/>
      <c r="AD239" s="15"/>
      <c r="AE239" s="15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</row>
    <row r="240" spans="1:43" s="8" customFormat="1" x14ac:dyDescent="0.2">
      <c r="A240" s="78"/>
      <c r="B240" s="78"/>
      <c r="C240" s="78"/>
      <c r="D240" s="78"/>
      <c r="E240" s="78"/>
      <c r="F240" s="78"/>
      <c r="G240" s="78"/>
      <c r="H240" s="80"/>
      <c r="I240" s="80"/>
      <c r="J240" s="80"/>
      <c r="K240" s="80"/>
      <c r="L240" s="80"/>
      <c r="M240" s="80"/>
      <c r="N240" s="80"/>
      <c r="O240" s="80"/>
      <c r="P240" s="80"/>
      <c r="Q240" s="80"/>
      <c r="R240" s="80"/>
      <c r="S240" s="80"/>
      <c r="T240" s="81"/>
      <c r="U240" s="81"/>
      <c r="V240" s="81"/>
      <c r="W240" s="81"/>
      <c r="X240" s="81"/>
      <c r="Y240" s="81"/>
      <c r="Z240" s="82"/>
      <c r="AA240" s="15"/>
      <c r="AB240" s="15"/>
      <c r="AC240" s="15"/>
      <c r="AD240" s="15"/>
      <c r="AE240" s="15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</row>
    <row r="241" spans="1:43" s="8" customFormat="1" x14ac:dyDescent="0.2">
      <c r="A241" s="78"/>
      <c r="B241" s="78"/>
      <c r="C241" s="78"/>
      <c r="D241" s="78"/>
      <c r="E241" s="78"/>
      <c r="F241" s="78"/>
      <c r="G241" s="78"/>
      <c r="H241" s="80"/>
      <c r="I241" s="80"/>
      <c r="J241" s="80"/>
      <c r="K241" s="80"/>
      <c r="L241" s="80"/>
      <c r="M241" s="80"/>
      <c r="N241" s="80"/>
      <c r="O241" s="80"/>
      <c r="P241" s="80"/>
      <c r="Q241" s="80"/>
      <c r="R241" s="80"/>
      <c r="S241" s="80"/>
      <c r="T241" s="81"/>
      <c r="U241" s="81"/>
      <c r="V241" s="81"/>
      <c r="W241" s="81"/>
      <c r="X241" s="81"/>
      <c r="Y241" s="81"/>
      <c r="Z241" s="82"/>
      <c r="AA241" s="15"/>
      <c r="AB241" s="15"/>
      <c r="AC241" s="15"/>
      <c r="AD241" s="15"/>
      <c r="AE241" s="15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</row>
    <row r="242" spans="1:43" s="8" customFormat="1" x14ac:dyDescent="0.2">
      <c r="A242" s="78"/>
      <c r="B242" s="78"/>
      <c r="C242" s="78"/>
      <c r="D242" s="78"/>
      <c r="E242" s="78"/>
      <c r="F242" s="78"/>
      <c r="G242" s="78"/>
      <c r="H242" s="80"/>
      <c r="I242" s="80"/>
      <c r="J242" s="80"/>
      <c r="K242" s="80"/>
      <c r="L242" s="80"/>
      <c r="M242" s="80"/>
      <c r="N242" s="80"/>
      <c r="O242" s="80"/>
      <c r="P242" s="80"/>
      <c r="Q242" s="80"/>
      <c r="R242" s="80"/>
      <c r="S242" s="80"/>
      <c r="T242" s="81"/>
      <c r="U242" s="81"/>
      <c r="V242" s="81"/>
      <c r="W242" s="81"/>
      <c r="X242" s="81"/>
      <c r="Y242" s="81"/>
      <c r="Z242" s="82"/>
      <c r="AA242" s="15"/>
      <c r="AB242" s="15"/>
      <c r="AC242" s="15"/>
      <c r="AD242" s="15"/>
      <c r="AE242" s="15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</row>
    <row r="243" spans="1:43" s="8" customFormat="1" x14ac:dyDescent="0.2">
      <c r="A243" s="78"/>
      <c r="B243" s="78"/>
      <c r="C243" s="78"/>
      <c r="D243" s="78"/>
      <c r="E243" s="78"/>
      <c r="F243" s="78"/>
      <c r="G243" s="78"/>
      <c r="H243" s="80"/>
      <c r="I243" s="80"/>
      <c r="J243" s="80"/>
      <c r="K243" s="80"/>
      <c r="L243" s="80"/>
      <c r="M243" s="80"/>
      <c r="N243" s="80"/>
      <c r="O243" s="80"/>
      <c r="P243" s="80"/>
      <c r="Q243" s="80"/>
      <c r="R243" s="80"/>
      <c r="S243" s="80"/>
      <c r="T243" s="81"/>
      <c r="U243" s="81"/>
      <c r="V243" s="81"/>
      <c r="W243" s="81"/>
      <c r="X243" s="81"/>
      <c r="Y243" s="81"/>
      <c r="Z243" s="82"/>
      <c r="AA243" s="15"/>
      <c r="AB243" s="15"/>
      <c r="AC243" s="15"/>
      <c r="AD243" s="15"/>
      <c r="AE243" s="15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</row>
    <row r="244" spans="1:43" s="8" customFormat="1" x14ac:dyDescent="0.2">
      <c r="A244" s="78"/>
      <c r="B244" s="78"/>
      <c r="C244" s="78"/>
      <c r="D244" s="78"/>
      <c r="E244" s="78"/>
      <c r="F244" s="78"/>
      <c r="G244" s="78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1"/>
      <c r="U244" s="81"/>
      <c r="V244" s="81"/>
      <c r="W244" s="81"/>
      <c r="X244" s="81"/>
      <c r="Y244" s="81"/>
      <c r="Z244" s="82"/>
      <c r="AA244" s="15"/>
      <c r="AB244" s="15"/>
      <c r="AC244" s="15"/>
      <c r="AD244" s="15"/>
      <c r="AE244" s="15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</row>
    <row r="245" spans="1:43" s="8" customFormat="1" x14ac:dyDescent="0.2">
      <c r="A245" s="78"/>
      <c r="B245" s="78"/>
      <c r="C245" s="78"/>
      <c r="D245" s="78"/>
      <c r="E245" s="78"/>
      <c r="F245" s="78"/>
      <c r="G245" s="78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1"/>
      <c r="U245" s="81"/>
      <c r="V245" s="81"/>
      <c r="W245" s="81"/>
      <c r="X245" s="81"/>
      <c r="Y245" s="81"/>
      <c r="Z245" s="82"/>
      <c r="AA245" s="15"/>
      <c r="AB245" s="15"/>
      <c r="AC245" s="15"/>
      <c r="AD245" s="15"/>
      <c r="AE245" s="15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</row>
    <row r="246" spans="1:43" s="8" customFormat="1" x14ac:dyDescent="0.2">
      <c r="A246" s="9"/>
      <c r="B246" s="9"/>
      <c r="C246" s="9"/>
      <c r="D246" s="9"/>
      <c r="E246" s="9"/>
      <c r="F246" s="9"/>
      <c r="G246" s="9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U246" s="13"/>
      <c r="V246" s="12"/>
      <c r="W246" s="13"/>
      <c r="Y246" s="13"/>
      <c r="Z246" s="15"/>
      <c r="AA246" s="15"/>
      <c r="AB246" s="15"/>
      <c r="AC246" s="15"/>
      <c r="AD246" s="15"/>
      <c r="AE246" s="15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</row>
    <row r="247" spans="1:43" s="8" customFormat="1" x14ac:dyDescent="0.2">
      <c r="A247" s="9"/>
      <c r="B247" s="9"/>
      <c r="C247" s="9"/>
      <c r="D247" s="9"/>
      <c r="E247" s="9"/>
      <c r="F247" s="9"/>
      <c r="G247" s="9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U247" s="13"/>
      <c r="V247" s="12"/>
      <c r="W247" s="13"/>
      <c r="Y247" s="13"/>
      <c r="Z247" s="15"/>
      <c r="AA247" s="15"/>
      <c r="AB247" s="15"/>
      <c r="AC247" s="15"/>
      <c r="AD247" s="15"/>
      <c r="AE247" s="15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</row>
    <row r="248" spans="1:43" s="8" customFormat="1" x14ac:dyDescent="0.2">
      <c r="A248" s="9"/>
      <c r="B248" s="9"/>
      <c r="C248" s="9"/>
      <c r="D248" s="9"/>
      <c r="E248" s="9"/>
      <c r="F248" s="9"/>
      <c r="G248" s="9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U248" s="13"/>
      <c r="V248" s="12"/>
      <c r="W248" s="13"/>
      <c r="Y248" s="13"/>
      <c r="Z248" s="15"/>
      <c r="AA248" s="15"/>
      <c r="AB248" s="15"/>
      <c r="AC248" s="15"/>
      <c r="AD248" s="15"/>
      <c r="AE248" s="15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</row>
    <row r="249" spans="1:43" s="8" customFormat="1" x14ac:dyDescent="0.2">
      <c r="A249" s="9"/>
      <c r="B249" s="9"/>
      <c r="C249" s="9"/>
      <c r="D249" s="9"/>
      <c r="E249" s="9"/>
      <c r="F249" s="9"/>
      <c r="G249" s="9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U249" s="13"/>
      <c r="V249" s="12"/>
      <c r="W249" s="13"/>
      <c r="Y249" s="13"/>
      <c r="Z249" s="15"/>
      <c r="AA249" s="15"/>
      <c r="AB249" s="15"/>
      <c r="AC249" s="15"/>
      <c r="AD249" s="15"/>
      <c r="AE249" s="15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</row>
    <row r="250" spans="1:43" s="8" customFormat="1" x14ac:dyDescent="0.2">
      <c r="A250" s="9"/>
      <c r="B250" s="9"/>
      <c r="C250" s="9"/>
      <c r="D250" s="9"/>
      <c r="E250" s="9"/>
      <c r="F250" s="9"/>
      <c r="G250" s="9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U250" s="13"/>
      <c r="V250" s="12"/>
      <c r="W250" s="13"/>
      <c r="Y250" s="13"/>
      <c r="Z250" s="15"/>
      <c r="AA250" s="15"/>
      <c r="AB250" s="15"/>
      <c r="AC250" s="15"/>
      <c r="AD250" s="15"/>
      <c r="AE250" s="15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</row>
    <row r="251" spans="1:43" s="8" customFormat="1" x14ac:dyDescent="0.2">
      <c r="A251" s="9"/>
      <c r="B251" s="9"/>
      <c r="C251" s="9"/>
      <c r="D251" s="9"/>
      <c r="E251" s="9"/>
      <c r="F251" s="9"/>
      <c r="G251" s="9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U251" s="13"/>
      <c r="V251" s="12"/>
      <c r="W251" s="13"/>
      <c r="Y251" s="13"/>
      <c r="Z251" s="15"/>
      <c r="AA251" s="15"/>
      <c r="AB251" s="15"/>
      <c r="AC251" s="15"/>
      <c r="AD251" s="15"/>
      <c r="AE251" s="15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</row>
    <row r="252" spans="1:43" s="8" customFormat="1" x14ac:dyDescent="0.2">
      <c r="A252" s="9"/>
      <c r="B252" s="9"/>
      <c r="C252" s="9"/>
      <c r="D252" s="9"/>
      <c r="E252" s="9"/>
      <c r="F252" s="9"/>
      <c r="G252" s="9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U252" s="13"/>
      <c r="V252" s="12"/>
      <c r="W252" s="13"/>
      <c r="Y252" s="13"/>
      <c r="Z252" s="15"/>
      <c r="AA252" s="15"/>
      <c r="AB252" s="15"/>
      <c r="AC252" s="15"/>
      <c r="AD252" s="15"/>
      <c r="AE252" s="15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</row>
    <row r="253" spans="1:43" s="8" customFormat="1" x14ac:dyDescent="0.2">
      <c r="A253" s="9"/>
      <c r="B253" s="9"/>
      <c r="C253" s="9"/>
      <c r="D253" s="9"/>
      <c r="E253" s="9"/>
      <c r="F253" s="9"/>
      <c r="G253" s="9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U253" s="13"/>
      <c r="V253" s="12"/>
      <c r="W253" s="13"/>
      <c r="Y253" s="13"/>
      <c r="Z253" s="15"/>
      <c r="AA253" s="15"/>
      <c r="AB253" s="15"/>
      <c r="AC253" s="15"/>
      <c r="AD253" s="15"/>
      <c r="AE253" s="15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</row>
    <row r="254" spans="1:43" s="8" customFormat="1" x14ac:dyDescent="0.2">
      <c r="A254" s="9"/>
      <c r="B254" s="9"/>
      <c r="C254" s="9"/>
      <c r="D254" s="9"/>
      <c r="E254" s="9"/>
      <c r="F254" s="9"/>
      <c r="G254" s="9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U254" s="13"/>
      <c r="V254" s="12"/>
      <c r="W254" s="13"/>
      <c r="Y254" s="13"/>
      <c r="Z254" s="15"/>
      <c r="AA254" s="15"/>
      <c r="AB254" s="15"/>
      <c r="AC254" s="15"/>
      <c r="AD254" s="15"/>
      <c r="AE254" s="15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</row>
    <row r="255" spans="1:43" s="8" customFormat="1" x14ac:dyDescent="0.2">
      <c r="A255" s="9"/>
      <c r="B255" s="9"/>
      <c r="C255" s="9"/>
      <c r="D255" s="9"/>
      <c r="E255" s="9"/>
      <c r="F255" s="9"/>
      <c r="G255" s="9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U255" s="13"/>
      <c r="V255" s="12"/>
      <c r="W255" s="13"/>
      <c r="Y255" s="13"/>
      <c r="Z255" s="15"/>
      <c r="AA255" s="15"/>
      <c r="AB255" s="15"/>
      <c r="AC255" s="15"/>
      <c r="AD255" s="15"/>
      <c r="AE255" s="15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</row>
    <row r="256" spans="1:43" s="8" customFormat="1" x14ac:dyDescent="0.2">
      <c r="A256" s="9"/>
      <c r="B256" s="9"/>
      <c r="C256" s="9"/>
      <c r="D256" s="9"/>
      <c r="E256" s="9"/>
      <c r="F256" s="9"/>
      <c r="G256" s="9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U256" s="13"/>
      <c r="V256" s="12"/>
      <c r="W256" s="13"/>
      <c r="Y256" s="13"/>
      <c r="Z256" s="15"/>
      <c r="AA256" s="15"/>
      <c r="AB256" s="15"/>
      <c r="AC256" s="15"/>
      <c r="AD256" s="15"/>
      <c r="AE256" s="15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</row>
    <row r="257" spans="1:43" s="8" customFormat="1" x14ac:dyDescent="0.2">
      <c r="A257" s="9"/>
      <c r="B257" s="9"/>
      <c r="C257" s="9"/>
      <c r="D257" s="9"/>
      <c r="E257" s="9"/>
      <c r="F257" s="9"/>
      <c r="G257" s="9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U257" s="13"/>
      <c r="V257" s="12"/>
      <c r="W257" s="13"/>
      <c r="Y257" s="13"/>
      <c r="Z257" s="15"/>
      <c r="AA257" s="15"/>
      <c r="AB257" s="15"/>
      <c r="AC257" s="15"/>
      <c r="AD257" s="15"/>
      <c r="AE257" s="15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</row>
    <row r="258" spans="1:43" s="8" customFormat="1" x14ac:dyDescent="0.2">
      <c r="A258" s="9"/>
      <c r="B258" s="9"/>
      <c r="C258" s="9"/>
      <c r="D258" s="9"/>
      <c r="E258" s="9"/>
      <c r="F258" s="9"/>
      <c r="G258" s="9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U258" s="13"/>
      <c r="V258" s="12"/>
      <c r="W258" s="13"/>
      <c r="Y258" s="13"/>
      <c r="Z258" s="15"/>
      <c r="AA258" s="15"/>
      <c r="AB258" s="15"/>
      <c r="AC258" s="15"/>
      <c r="AD258" s="15"/>
      <c r="AE258" s="15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</row>
    <row r="259" spans="1:43" s="8" customFormat="1" x14ac:dyDescent="0.2">
      <c r="A259" s="9"/>
      <c r="B259" s="9"/>
      <c r="C259" s="9"/>
      <c r="D259" s="9"/>
      <c r="E259" s="9"/>
      <c r="F259" s="9"/>
      <c r="G259" s="9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U259" s="13"/>
      <c r="V259" s="12"/>
      <c r="W259" s="13"/>
      <c r="Y259" s="13"/>
      <c r="Z259" s="15"/>
      <c r="AA259" s="15"/>
      <c r="AB259" s="15"/>
      <c r="AC259" s="15"/>
      <c r="AD259" s="15"/>
      <c r="AE259" s="15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</row>
    <row r="260" spans="1:43" s="8" customFormat="1" x14ac:dyDescent="0.2">
      <c r="A260" s="9"/>
      <c r="B260" s="9"/>
      <c r="C260" s="9"/>
      <c r="D260" s="9"/>
      <c r="E260" s="9"/>
      <c r="F260" s="9"/>
      <c r="G260" s="9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U260" s="13"/>
      <c r="V260" s="12"/>
      <c r="W260" s="13"/>
      <c r="Y260" s="13"/>
      <c r="Z260" s="15"/>
      <c r="AA260" s="15"/>
      <c r="AB260" s="15"/>
      <c r="AC260" s="15"/>
      <c r="AD260" s="15"/>
      <c r="AE260" s="15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</row>
    <row r="261" spans="1:43" s="8" customFormat="1" x14ac:dyDescent="0.2">
      <c r="A261" s="9"/>
      <c r="B261" s="9"/>
      <c r="C261" s="9"/>
      <c r="D261" s="9"/>
      <c r="E261" s="9"/>
      <c r="F261" s="9"/>
      <c r="G261" s="9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U261" s="13"/>
      <c r="V261" s="12"/>
      <c r="W261" s="13"/>
      <c r="Y261" s="13"/>
      <c r="Z261" s="15"/>
      <c r="AA261" s="15"/>
      <c r="AB261" s="15"/>
      <c r="AC261" s="15"/>
      <c r="AD261" s="15"/>
      <c r="AE261" s="15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</row>
    <row r="262" spans="1:43" s="8" customFormat="1" x14ac:dyDescent="0.2">
      <c r="A262" s="9"/>
      <c r="B262" s="9"/>
      <c r="C262" s="9"/>
      <c r="D262" s="9"/>
      <c r="E262" s="9"/>
      <c r="F262" s="9"/>
      <c r="G262" s="9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U262" s="13"/>
      <c r="V262" s="12"/>
      <c r="W262" s="13"/>
      <c r="Y262" s="13"/>
      <c r="Z262" s="15"/>
      <c r="AA262" s="15"/>
      <c r="AB262" s="15"/>
      <c r="AC262" s="15"/>
      <c r="AD262" s="15"/>
      <c r="AE262" s="15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</row>
    <row r="263" spans="1:43" s="8" customFormat="1" x14ac:dyDescent="0.2">
      <c r="A263" s="9"/>
      <c r="B263" s="9"/>
      <c r="C263" s="9"/>
      <c r="D263" s="9"/>
      <c r="E263" s="9"/>
      <c r="F263" s="9"/>
      <c r="G263" s="9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U263" s="13"/>
      <c r="V263" s="12"/>
      <c r="W263" s="13"/>
      <c r="Y263" s="13"/>
      <c r="Z263" s="15"/>
      <c r="AA263" s="15"/>
      <c r="AB263" s="15"/>
      <c r="AC263" s="15"/>
      <c r="AD263" s="15"/>
      <c r="AE263" s="15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</row>
    <row r="264" spans="1:43" s="8" customFormat="1" x14ac:dyDescent="0.2">
      <c r="A264" s="9"/>
      <c r="B264" s="9"/>
      <c r="C264" s="9"/>
      <c r="D264" s="9"/>
      <c r="E264" s="9"/>
      <c r="F264" s="9"/>
      <c r="G264" s="9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U264" s="13"/>
      <c r="V264" s="12"/>
      <c r="W264" s="13"/>
      <c r="Y264" s="13"/>
      <c r="Z264" s="15"/>
      <c r="AA264" s="15"/>
      <c r="AB264" s="15"/>
      <c r="AC264" s="15"/>
      <c r="AD264" s="15"/>
      <c r="AE264" s="15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</row>
    <row r="265" spans="1:43" s="8" customFormat="1" x14ac:dyDescent="0.2">
      <c r="A265" s="9"/>
      <c r="B265" s="9"/>
      <c r="C265" s="9"/>
      <c r="D265" s="9"/>
      <c r="E265" s="9"/>
      <c r="F265" s="9"/>
      <c r="G265" s="9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U265" s="13"/>
      <c r="V265" s="12"/>
      <c r="W265" s="13"/>
      <c r="Y265" s="13"/>
      <c r="Z265" s="15"/>
      <c r="AA265" s="15"/>
      <c r="AB265" s="15"/>
      <c r="AC265" s="15"/>
      <c r="AD265" s="15"/>
      <c r="AE265" s="15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</row>
    <row r="266" spans="1:43" s="8" customFormat="1" x14ac:dyDescent="0.2">
      <c r="A266" s="9"/>
      <c r="B266" s="9"/>
      <c r="C266" s="9"/>
      <c r="D266" s="9"/>
      <c r="E266" s="9"/>
      <c r="F266" s="9"/>
      <c r="G266" s="9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U266" s="13"/>
      <c r="V266" s="12"/>
      <c r="W266" s="13"/>
      <c r="Y266" s="13"/>
      <c r="Z266" s="15"/>
      <c r="AA266" s="15"/>
      <c r="AB266" s="15"/>
      <c r="AC266" s="15"/>
      <c r="AD266" s="15"/>
      <c r="AE266" s="15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</row>
    <row r="267" spans="1:43" s="8" customFormat="1" x14ac:dyDescent="0.2">
      <c r="A267" s="9"/>
      <c r="B267" s="9"/>
      <c r="C267" s="9"/>
      <c r="D267" s="9"/>
      <c r="E267" s="9"/>
      <c r="F267" s="9"/>
      <c r="G267" s="9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U267" s="13"/>
      <c r="V267" s="12"/>
      <c r="W267" s="13"/>
      <c r="Y267" s="13"/>
      <c r="Z267" s="15"/>
      <c r="AA267" s="15"/>
      <c r="AB267" s="15"/>
      <c r="AC267" s="15"/>
      <c r="AD267" s="15"/>
      <c r="AE267" s="15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</row>
    <row r="268" spans="1:43" s="8" customFormat="1" x14ac:dyDescent="0.2">
      <c r="A268" s="9"/>
      <c r="B268" s="9"/>
      <c r="C268" s="9"/>
      <c r="D268" s="9"/>
      <c r="E268" s="9"/>
      <c r="F268" s="9"/>
      <c r="G268" s="9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U268" s="13"/>
      <c r="V268" s="12"/>
      <c r="W268" s="13"/>
      <c r="Y268" s="13"/>
      <c r="Z268" s="15"/>
      <c r="AA268" s="15"/>
      <c r="AB268" s="15"/>
      <c r="AC268" s="15"/>
      <c r="AD268" s="15"/>
      <c r="AE268" s="15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</row>
    <row r="269" spans="1:43" s="8" customFormat="1" x14ac:dyDescent="0.2">
      <c r="A269" s="9"/>
      <c r="B269" s="9"/>
      <c r="C269" s="9"/>
      <c r="D269" s="9"/>
      <c r="E269" s="9"/>
      <c r="F269" s="9"/>
      <c r="G269" s="9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U269" s="13"/>
      <c r="V269" s="12"/>
      <c r="W269" s="13"/>
      <c r="Y269" s="13"/>
      <c r="Z269" s="15"/>
      <c r="AA269" s="15"/>
      <c r="AB269" s="15"/>
      <c r="AC269" s="15"/>
      <c r="AD269" s="15"/>
      <c r="AE269" s="15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</row>
    <row r="270" spans="1:43" s="8" customFormat="1" x14ac:dyDescent="0.2">
      <c r="A270" s="9"/>
      <c r="B270" s="9"/>
      <c r="C270" s="9"/>
      <c r="D270" s="9"/>
      <c r="E270" s="9"/>
      <c r="F270" s="9"/>
      <c r="G270" s="9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U270" s="13"/>
      <c r="V270" s="12"/>
      <c r="W270" s="13"/>
      <c r="Y270" s="13"/>
      <c r="Z270" s="15"/>
      <c r="AA270" s="15"/>
      <c r="AB270" s="15"/>
      <c r="AC270" s="15"/>
      <c r="AD270" s="15"/>
      <c r="AE270" s="15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</row>
    <row r="271" spans="1:43" s="8" customFormat="1" x14ac:dyDescent="0.2">
      <c r="A271" s="9"/>
      <c r="B271" s="9"/>
      <c r="C271" s="9"/>
      <c r="D271" s="9"/>
      <c r="E271" s="9"/>
      <c r="F271" s="9"/>
      <c r="G271" s="9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U271" s="13"/>
      <c r="V271" s="12"/>
      <c r="W271" s="13"/>
      <c r="Y271" s="13"/>
      <c r="Z271" s="15"/>
      <c r="AA271" s="15"/>
      <c r="AB271" s="15"/>
      <c r="AC271" s="15"/>
      <c r="AD271" s="15"/>
      <c r="AE271" s="15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</row>
    <row r="272" spans="1:43" s="8" customFormat="1" x14ac:dyDescent="0.2">
      <c r="A272" s="9"/>
      <c r="B272" s="9"/>
      <c r="C272" s="9"/>
      <c r="D272" s="9"/>
      <c r="E272" s="9"/>
      <c r="F272" s="9"/>
      <c r="G272" s="9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U272" s="13"/>
      <c r="V272" s="12"/>
      <c r="W272" s="13"/>
      <c r="Y272" s="13"/>
      <c r="Z272" s="15"/>
      <c r="AA272" s="15"/>
      <c r="AB272" s="15"/>
      <c r="AC272" s="15"/>
      <c r="AD272" s="15"/>
      <c r="AE272" s="15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</row>
    <row r="273" spans="1:43" s="8" customFormat="1" x14ac:dyDescent="0.2">
      <c r="A273" s="9"/>
      <c r="B273" s="9"/>
      <c r="C273" s="9"/>
      <c r="D273" s="9"/>
      <c r="E273" s="9"/>
      <c r="F273" s="9"/>
      <c r="G273" s="9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U273" s="13"/>
      <c r="V273" s="12"/>
      <c r="W273" s="13"/>
      <c r="Y273" s="13"/>
      <c r="Z273" s="15"/>
      <c r="AA273" s="15"/>
      <c r="AB273" s="15"/>
      <c r="AC273" s="15"/>
      <c r="AD273" s="15"/>
      <c r="AE273" s="15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</row>
    <row r="274" spans="1:43" s="8" customFormat="1" x14ac:dyDescent="0.2">
      <c r="A274" s="9"/>
      <c r="B274" s="9"/>
      <c r="C274" s="9"/>
      <c r="D274" s="9"/>
      <c r="E274" s="9"/>
      <c r="F274" s="9"/>
      <c r="G274" s="9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U274" s="13"/>
      <c r="V274" s="12"/>
      <c r="W274" s="13"/>
      <c r="Y274" s="13"/>
      <c r="Z274" s="15"/>
      <c r="AA274" s="15"/>
      <c r="AB274" s="15"/>
      <c r="AC274" s="15"/>
      <c r="AD274" s="15"/>
      <c r="AE274" s="15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</row>
    <row r="275" spans="1:43" s="8" customFormat="1" x14ac:dyDescent="0.2">
      <c r="A275" s="9"/>
      <c r="B275" s="9"/>
      <c r="C275" s="9"/>
      <c r="D275" s="9"/>
      <c r="E275" s="9"/>
      <c r="F275" s="9"/>
      <c r="G275" s="9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U275" s="13"/>
      <c r="V275" s="12"/>
      <c r="W275" s="13"/>
      <c r="Y275" s="13"/>
      <c r="Z275" s="15"/>
      <c r="AA275" s="15"/>
      <c r="AB275" s="15"/>
      <c r="AC275" s="15"/>
      <c r="AD275" s="15"/>
      <c r="AE275" s="15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</row>
    <row r="276" spans="1:43" s="8" customFormat="1" x14ac:dyDescent="0.2">
      <c r="A276" s="9"/>
      <c r="B276" s="9"/>
      <c r="C276" s="9"/>
      <c r="D276" s="9"/>
      <c r="E276" s="9"/>
      <c r="F276" s="9"/>
      <c r="G276" s="9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U276" s="13"/>
      <c r="V276" s="12"/>
      <c r="W276" s="13"/>
      <c r="Y276" s="13"/>
      <c r="Z276" s="15"/>
      <c r="AA276" s="15"/>
      <c r="AB276" s="15"/>
      <c r="AC276" s="15"/>
      <c r="AD276" s="15"/>
      <c r="AE276" s="15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</row>
    <row r="277" spans="1:43" s="8" customFormat="1" x14ac:dyDescent="0.2">
      <c r="A277" s="9"/>
      <c r="B277" s="9"/>
      <c r="C277" s="9"/>
      <c r="D277" s="9"/>
      <c r="E277" s="9"/>
      <c r="F277" s="9"/>
      <c r="G277" s="9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U277" s="13"/>
      <c r="V277" s="12"/>
      <c r="W277" s="13"/>
      <c r="Y277" s="13"/>
      <c r="Z277" s="15"/>
      <c r="AA277" s="15"/>
      <c r="AB277" s="15"/>
      <c r="AC277" s="15"/>
      <c r="AD277" s="15"/>
      <c r="AE277" s="15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</row>
    <row r="278" spans="1:43" s="8" customFormat="1" x14ac:dyDescent="0.2">
      <c r="A278" s="9"/>
      <c r="B278" s="9"/>
      <c r="C278" s="9"/>
      <c r="D278" s="9"/>
      <c r="E278" s="9"/>
      <c r="F278" s="9"/>
      <c r="G278" s="9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U278" s="13"/>
      <c r="V278" s="12"/>
      <c r="W278" s="13"/>
      <c r="Y278" s="13"/>
      <c r="Z278" s="15"/>
      <c r="AA278" s="15"/>
      <c r="AB278" s="15"/>
      <c r="AC278" s="15"/>
      <c r="AD278" s="15"/>
      <c r="AE278" s="15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</row>
    <row r="279" spans="1:43" s="8" customFormat="1" x14ac:dyDescent="0.2">
      <c r="A279" s="9"/>
      <c r="B279" s="9"/>
      <c r="C279" s="9"/>
      <c r="D279" s="9"/>
      <c r="E279" s="9"/>
      <c r="F279" s="9"/>
      <c r="G279" s="9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U279" s="13"/>
      <c r="V279" s="12"/>
      <c r="W279" s="13"/>
      <c r="Y279" s="13"/>
      <c r="Z279" s="15"/>
      <c r="AA279" s="15"/>
      <c r="AB279" s="15"/>
      <c r="AC279" s="15"/>
      <c r="AD279" s="15"/>
      <c r="AE279" s="15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</row>
    <row r="280" spans="1:43" s="8" customFormat="1" x14ac:dyDescent="0.2">
      <c r="A280" s="9"/>
      <c r="B280" s="9"/>
      <c r="C280" s="9"/>
      <c r="D280" s="9"/>
      <c r="E280" s="9"/>
      <c r="F280" s="9"/>
      <c r="G280" s="9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U280" s="13"/>
      <c r="V280" s="12"/>
      <c r="W280" s="13"/>
      <c r="Y280" s="13"/>
      <c r="Z280" s="15"/>
      <c r="AA280" s="15"/>
      <c r="AB280" s="15"/>
      <c r="AC280" s="15"/>
      <c r="AD280" s="15"/>
      <c r="AE280" s="15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</row>
    <row r="281" spans="1:43" s="8" customFormat="1" x14ac:dyDescent="0.2">
      <c r="A281" s="9"/>
      <c r="B281" s="9"/>
      <c r="C281" s="9"/>
      <c r="D281" s="9"/>
      <c r="E281" s="9"/>
      <c r="F281" s="9"/>
      <c r="G281" s="9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U281" s="13"/>
      <c r="V281" s="12"/>
      <c r="W281" s="13"/>
      <c r="Y281" s="13"/>
      <c r="Z281" s="15"/>
      <c r="AA281" s="15"/>
      <c r="AB281" s="15"/>
      <c r="AC281" s="15"/>
      <c r="AD281" s="15"/>
      <c r="AE281" s="15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</row>
    <row r="282" spans="1:43" s="8" customFormat="1" x14ac:dyDescent="0.2">
      <c r="A282" s="9"/>
      <c r="B282" s="9"/>
      <c r="C282" s="9"/>
      <c r="D282" s="9"/>
      <c r="E282" s="9"/>
      <c r="F282" s="9"/>
      <c r="G282" s="9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U282" s="13"/>
      <c r="V282" s="12"/>
      <c r="W282" s="13"/>
      <c r="Y282" s="13"/>
      <c r="Z282" s="15"/>
      <c r="AA282" s="15"/>
      <c r="AB282" s="15"/>
      <c r="AC282" s="15"/>
      <c r="AD282" s="15"/>
      <c r="AE282" s="15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</row>
    <row r="283" spans="1:43" s="8" customFormat="1" x14ac:dyDescent="0.2">
      <c r="A283" s="9"/>
      <c r="B283" s="9"/>
      <c r="C283" s="9"/>
      <c r="D283" s="9"/>
      <c r="E283" s="9"/>
      <c r="F283" s="9"/>
      <c r="G283" s="9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U283" s="13"/>
      <c r="V283" s="12"/>
      <c r="W283" s="13"/>
      <c r="Y283" s="13"/>
      <c r="Z283" s="15"/>
      <c r="AA283" s="15"/>
      <c r="AB283" s="15"/>
      <c r="AC283" s="15"/>
      <c r="AD283" s="15"/>
      <c r="AE283" s="15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</row>
    <row r="284" spans="1:43" s="8" customFormat="1" x14ac:dyDescent="0.2">
      <c r="A284" s="9"/>
      <c r="B284" s="9"/>
      <c r="C284" s="9"/>
      <c r="D284" s="9"/>
      <c r="E284" s="9"/>
      <c r="F284" s="9"/>
      <c r="G284" s="9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U284" s="13"/>
      <c r="V284" s="12"/>
      <c r="W284" s="13"/>
      <c r="Y284" s="13"/>
      <c r="Z284" s="15"/>
      <c r="AA284" s="15"/>
      <c r="AB284" s="15"/>
      <c r="AC284" s="15"/>
      <c r="AD284" s="15"/>
      <c r="AE284" s="15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</row>
    <row r="285" spans="1:43" s="8" customFormat="1" x14ac:dyDescent="0.2">
      <c r="A285" s="9"/>
      <c r="B285" s="9"/>
      <c r="C285" s="9"/>
      <c r="D285" s="9"/>
      <c r="E285" s="9"/>
      <c r="F285" s="9"/>
      <c r="G285" s="9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U285" s="13"/>
      <c r="V285" s="12"/>
      <c r="W285" s="13"/>
      <c r="Y285" s="13"/>
      <c r="Z285" s="15"/>
      <c r="AA285" s="15"/>
      <c r="AB285" s="15"/>
      <c r="AC285" s="15"/>
      <c r="AD285" s="15"/>
      <c r="AE285" s="15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</row>
    <row r="286" spans="1:43" s="8" customFormat="1" x14ac:dyDescent="0.2">
      <c r="A286" s="9"/>
      <c r="B286" s="9"/>
      <c r="C286" s="9"/>
      <c r="D286" s="9"/>
      <c r="E286" s="9"/>
      <c r="F286" s="9"/>
      <c r="G286" s="9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U286" s="13"/>
      <c r="V286" s="12"/>
      <c r="W286" s="13"/>
      <c r="Y286" s="13"/>
      <c r="Z286" s="15"/>
      <c r="AA286" s="15"/>
      <c r="AB286" s="15"/>
      <c r="AC286" s="15"/>
      <c r="AD286" s="15"/>
      <c r="AE286" s="15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</row>
    <row r="287" spans="1:43" s="8" customFormat="1" x14ac:dyDescent="0.2">
      <c r="A287" s="9"/>
      <c r="B287" s="9"/>
      <c r="C287" s="9"/>
      <c r="D287" s="9"/>
      <c r="E287" s="9"/>
      <c r="F287" s="9"/>
      <c r="G287" s="9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U287" s="13"/>
      <c r="V287" s="12"/>
      <c r="W287" s="13"/>
      <c r="Y287" s="13"/>
      <c r="Z287" s="15"/>
      <c r="AA287" s="15"/>
      <c r="AB287" s="15"/>
      <c r="AC287" s="15"/>
      <c r="AD287" s="15"/>
      <c r="AE287" s="15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</row>
    <row r="288" spans="1:43" s="8" customFormat="1" x14ac:dyDescent="0.2">
      <c r="A288" s="9"/>
      <c r="B288" s="9"/>
      <c r="C288" s="9"/>
      <c r="D288" s="9"/>
      <c r="E288" s="9"/>
      <c r="F288" s="9"/>
      <c r="G288" s="9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U288" s="13"/>
      <c r="V288" s="12"/>
      <c r="W288" s="13"/>
      <c r="Y288" s="13"/>
      <c r="Z288" s="15"/>
      <c r="AA288" s="15"/>
      <c r="AB288" s="15"/>
      <c r="AC288" s="15"/>
      <c r="AD288" s="15"/>
      <c r="AE288" s="15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</row>
    <row r="289" spans="1:43" s="8" customFormat="1" x14ac:dyDescent="0.2">
      <c r="A289" s="9"/>
      <c r="B289" s="9"/>
      <c r="C289" s="9"/>
      <c r="D289" s="9"/>
      <c r="E289" s="9"/>
      <c r="F289" s="9"/>
      <c r="G289" s="9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U289" s="13"/>
      <c r="V289" s="12"/>
      <c r="W289" s="13"/>
      <c r="Y289" s="13"/>
      <c r="Z289" s="15"/>
      <c r="AA289" s="15"/>
      <c r="AB289" s="15"/>
      <c r="AC289" s="15"/>
      <c r="AD289" s="15"/>
      <c r="AE289" s="15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</row>
    <row r="290" spans="1:43" s="8" customFormat="1" x14ac:dyDescent="0.2">
      <c r="A290" s="9"/>
      <c r="B290" s="9"/>
      <c r="C290" s="9"/>
      <c r="D290" s="9"/>
      <c r="E290" s="9"/>
      <c r="F290" s="9"/>
      <c r="G290" s="9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U290" s="13"/>
      <c r="V290" s="12"/>
      <c r="W290" s="13"/>
      <c r="Y290" s="13"/>
      <c r="Z290" s="15"/>
      <c r="AA290" s="15"/>
      <c r="AB290" s="15"/>
      <c r="AC290" s="15"/>
      <c r="AD290" s="15"/>
      <c r="AE290" s="15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</row>
    <row r="291" spans="1:43" s="8" customFormat="1" x14ac:dyDescent="0.2">
      <c r="A291" s="9"/>
      <c r="B291" s="9"/>
      <c r="C291" s="9"/>
      <c r="D291" s="9"/>
      <c r="E291" s="9"/>
      <c r="F291" s="9"/>
      <c r="G291" s="9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U291" s="13"/>
      <c r="V291" s="12"/>
      <c r="W291" s="13"/>
      <c r="Y291" s="13"/>
      <c r="Z291" s="15"/>
      <c r="AA291" s="15"/>
      <c r="AB291" s="15"/>
      <c r="AC291" s="15"/>
      <c r="AD291" s="15"/>
      <c r="AE291" s="15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</row>
    <row r="292" spans="1:43" s="8" customFormat="1" x14ac:dyDescent="0.2">
      <c r="A292" s="9"/>
      <c r="B292" s="9"/>
      <c r="C292" s="9"/>
      <c r="D292" s="9"/>
      <c r="E292" s="9"/>
      <c r="F292" s="9"/>
      <c r="G292" s="9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U292" s="13"/>
      <c r="V292" s="12"/>
      <c r="W292" s="13"/>
      <c r="Y292" s="13"/>
      <c r="Z292" s="15"/>
      <c r="AA292" s="15"/>
      <c r="AB292" s="15"/>
      <c r="AC292" s="15"/>
      <c r="AD292" s="15"/>
      <c r="AE292" s="15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</row>
    <row r="293" spans="1:43" s="8" customFormat="1" x14ac:dyDescent="0.2">
      <c r="A293" s="9"/>
      <c r="B293" s="9"/>
      <c r="C293" s="9"/>
      <c r="D293" s="9"/>
      <c r="E293" s="9"/>
      <c r="F293" s="9"/>
      <c r="G293" s="9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U293" s="13"/>
      <c r="V293" s="12"/>
      <c r="W293" s="13"/>
      <c r="Y293" s="13"/>
      <c r="Z293" s="15"/>
      <c r="AA293" s="15"/>
      <c r="AB293" s="15"/>
      <c r="AC293" s="15"/>
      <c r="AD293" s="15"/>
      <c r="AE293" s="15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</row>
    <row r="294" spans="1:43" s="8" customFormat="1" x14ac:dyDescent="0.2">
      <c r="A294" s="9"/>
      <c r="B294" s="9"/>
      <c r="C294" s="9"/>
      <c r="D294" s="9"/>
      <c r="E294" s="9"/>
      <c r="F294" s="9"/>
      <c r="G294" s="9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U294" s="13"/>
      <c r="V294" s="12"/>
      <c r="W294" s="13"/>
      <c r="Y294" s="13"/>
      <c r="Z294" s="15"/>
      <c r="AA294" s="15"/>
      <c r="AB294" s="15"/>
      <c r="AC294" s="15"/>
      <c r="AD294" s="15"/>
      <c r="AE294" s="15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</row>
    <row r="295" spans="1:43" s="8" customFormat="1" x14ac:dyDescent="0.2">
      <c r="A295" s="9"/>
      <c r="B295" s="9"/>
      <c r="C295" s="9"/>
      <c r="D295" s="9"/>
      <c r="E295" s="9"/>
      <c r="F295" s="9"/>
      <c r="G295" s="9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U295" s="13"/>
      <c r="V295" s="12"/>
      <c r="W295" s="13"/>
      <c r="Y295" s="13"/>
      <c r="Z295" s="15"/>
      <c r="AA295" s="15"/>
      <c r="AB295" s="15"/>
      <c r="AC295" s="15"/>
      <c r="AD295" s="15"/>
      <c r="AE295" s="15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</row>
    <row r="296" spans="1:43" s="8" customFormat="1" x14ac:dyDescent="0.2">
      <c r="A296" s="9"/>
      <c r="B296" s="9"/>
      <c r="C296" s="9"/>
      <c r="D296" s="9"/>
      <c r="E296" s="9"/>
      <c r="F296" s="9"/>
      <c r="G296" s="9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U296" s="13"/>
      <c r="V296" s="12"/>
      <c r="W296" s="13"/>
      <c r="Y296" s="13"/>
      <c r="Z296" s="15"/>
      <c r="AA296" s="15"/>
      <c r="AB296" s="15"/>
      <c r="AC296" s="15"/>
      <c r="AD296" s="15"/>
      <c r="AE296" s="15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</row>
    <row r="297" spans="1:43" s="8" customFormat="1" x14ac:dyDescent="0.2">
      <c r="A297" s="9"/>
      <c r="B297" s="9"/>
      <c r="C297" s="9"/>
      <c r="D297" s="9"/>
      <c r="E297" s="9"/>
      <c r="F297" s="9"/>
      <c r="G297" s="9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U297" s="13"/>
      <c r="V297" s="12"/>
      <c r="W297" s="13"/>
      <c r="Y297" s="13"/>
      <c r="Z297" s="15"/>
      <c r="AA297" s="15"/>
      <c r="AB297" s="15"/>
      <c r="AC297" s="15"/>
      <c r="AD297" s="15"/>
      <c r="AE297" s="15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</row>
    <row r="298" spans="1:43" s="8" customFormat="1" x14ac:dyDescent="0.2">
      <c r="A298" s="9"/>
      <c r="B298" s="9"/>
      <c r="C298" s="9"/>
      <c r="D298" s="9"/>
      <c r="E298" s="9"/>
      <c r="F298" s="9"/>
      <c r="G298" s="9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U298" s="13"/>
      <c r="V298" s="12"/>
      <c r="W298" s="13"/>
      <c r="Y298" s="13"/>
      <c r="Z298" s="15"/>
      <c r="AA298" s="15"/>
      <c r="AB298" s="15"/>
      <c r="AC298" s="15"/>
      <c r="AD298" s="15"/>
      <c r="AE298" s="15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</row>
    <row r="299" spans="1:43" s="8" customFormat="1" x14ac:dyDescent="0.2">
      <c r="A299" s="9"/>
      <c r="B299" s="9"/>
      <c r="C299" s="9"/>
      <c r="D299" s="9"/>
      <c r="E299" s="9"/>
      <c r="F299" s="9"/>
      <c r="G299" s="9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U299" s="13"/>
      <c r="V299" s="12"/>
      <c r="W299" s="13"/>
      <c r="Y299" s="13"/>
      <c r="Z299" s="15"/>
      <c r="AA299" s="15"/>
      <c r="AB299" s="15"/>
      <c r="AC299" s="15"/>
      <c r="AD299" s="15"/>
      <c r="AE299" s="15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</row>
    <row r="300" spans="1:43" s="8" customFormat="1" x14ac:dyDescent="0.2">
      <c r="A300" s="9"/>
      <c r="B300" s="9"/>
      <c r="C300" s="9"/>
      <c r="D300" s="9"/>
      <c r="E300" s="9"/>
      <c r="F300" s="9"/>
      <c r="G300" s="9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U300" s="13"/>
      <c r="V300" s="12"/>
      <c r="W300" s="13"/>
      <c r="Y300" s="13"/>
      <c r="Z300" s="15"/>
      <c r="AA300" s="15"/>
      <c r="AB300" s="15"/>
      <c r="AC300" s="15"/>
      <c r="AD300" s="15"/>
      <c r="AE300" s="15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</row>
    <row r="301" spans="1:43" s="8" customFormat="1" x14ac:dyDescent="0.2">
      <c r="A301" s="9"/>
      <c r="B301" s="9"/>
      <c r="C301" s="9"/>
      <c r="D301" s="9"/>
      <c r="E301" s="9"/>
      <c r="F301" s="9"/>
      <c r="G301" s="9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U301" s="13"/>
      <c r="V301" s="12"/>
      <c r="W301" s="13"/>
      <c r="Y301" s="13"/>
      <c r="Z301" s="15"/>
      <c r="AA301" s="15"/>
      <c r="AB301" s="15"/>
      <c r="AC301" s="15"/>
      <c r="AD301" s="15"/>
      <c r="AE301" s="15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</row>
    <row r="302" spans="1:43" s="8" customFormat="1" x14ac:dyDescent="0.2">
      <c r="A302" s="9"/>
      <c r="B302" s="9"/>
      <c r="C302" s="9"/>
      <c r="D302" s="9"/>
      <c r="E302" s="9"/>
      <c r="F302" s="9"/>
      <c r="G302" s="9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U302" s="13"/>
      <c r="V302" s="12"/>
      <c r="W302" s="13"/>
      <c r="Y302" s="13"/>
      <c r="Z302" s="15"/>
      <c r="AA302" s="15"/>
      <c r="AB302" s="15"/>
      <c r="AC302" s="15"/>
      <c r="AD302" s="15"/>
      <c r="AE302" s="15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</row>
    <row r="303" spans="1:43" s="8" customFormat="1" x14ac:dyDescent="0.2">
      <c r="A303" s="9"/>
      <c r="B303" s="9"/>
      <c r="C303" s="9"/>
      <c r="D303" s="9"/>
      <c r="E303" s="9"/>
      <c r="F303" s="9"/>
      <c r="G303" s="9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U303" s="13"/>
      <c r="V303" s="12"/>
      <c r="W303" s="13"/>
      <c r="Y303" s="13"/>
      <c r="Z303" s="15"/>
      <c r="AA303" s="15"/>
      <c r="AB303" s="15"/>
      <c r="AC303" s="15"/>
      <c r="AD303" s="15"/>
      <c r="AE303" s="15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</row>
    <row r="304" spans="1:43" s="8" customFormat="1" x14ac:dyDescent="0.2">
      <c r="A304" s="9"/>
      <c r="B304" s="9"/>
      <c r="C304" s="9"/>
      <c r="D304" s="9"/>
      <c r="E304" s="9"/>
      <c r="F304" s="9"/>
      <c r="G304" s="9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U304" s="13"/>
      <c r="V304" s="12"/>
      <c r="W304" s="13"/>
      <c r="Y304" s="13"/>
      <c r="Z304" s="15"/>
      <c r="AA304" s="15"/>
      <c r="AB304" s="15"/>
      <c r="AC304" s="15"/>
      <c r="AD304" s="15"/>
      <c r="AE304" s="15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</row>
    <row r="305" spans="1:43" s="8" customFormat="1" x14ac:dyDescent="0.2">
      <c r="A305" s="9"/>
      <c r="B305" s="9"/>
      <c r="C305" s="9"/>
      <c r="D305" s="9"/>
      <c r="E305" s="9"/>
      <c r="F305" s="9"/>
      <c r="G305" s="9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U305" s="13"/>
      <c r="V305" s="12"/>
      <c r="W305" s="13"/>
      <c r="Y305" s="13"/>
      <c r="Z305" s="15"/>
      <c r="AA305" s="15"/>
      <c r="AB305" s="15"/>
      <c r="AC305" s="15"/>
      <c r="AD305" s="15"/>
      <c r="AE305" s="15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</row>
    <row r="306" spans="1:43" s="8" customFormat="1" x14ac:dyDescent="0.2">
      <c r="A306" s="9"/>
      <c r="B306" s="9"/>
      <c r="C306" s="9"/>
      <c r="D306" s="9"/>
      <c r="E306" s="9"/>
      <c r="F306" s="9"/>
      <c r="G306" s="9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U306" s="13"/>
      <c r="V306" s="12"/>
      <c r="W306" s="13"/>
      <c r="Y306" s="13"/>
      <c r="Z306" s="15"/>
      <c r="AA306" s="15"/>
      <c r="AB306" s="15"/>
      <c r="AC306" s="15"/>
      <c r="AD306" s="15"/>
      <c r="AE306" s="15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</row>
    <row r="307" spans="1:43" s="8" customFormat="1" x14ac:dyDescent="0.2">
      <c r="A307" s="9"/>
      <c r="B307" s="9"/>
      <c r="C307" s="9"/>
      <c r="D307" s="9"/>
      <c r="E307" s="9"/>
      <c r="F307" s="9"/>
      <c r="G307" s="9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U307" s="13"/>
      <c r="V307" s="12"/>
      <c r="W307" s="13"/>
      <c r="Y307" s="13"/>
      <c r="Z307" s="15"/>
      <c r="AA307" s="15"/>
      <c r="AB307" s="15"/>
      <c r="AC307" s="15"/>
      <c r="AD307" s="15"/>
      <c r="AE307" s="15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</row>
    <row r="308" spans="1:43" s="8" customFormat="1" x14ac:dyDescent="0.2">
      <c r="A308" s="9"/>
      <c r="B308" s="9"/>
      <c r="C308" s="9"/>
      <c r="D308" s="9"/>
      <c r="E308" s="9"/>
      <c r="F308" s="9"/>
      <c r="G308" s="9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U308" s="13"/>
      <c r="V308" s="12"/>
      <c r="W308" s="13"/>
      <c r="Y308" s="13"/>
      <c r="Z308" s="15"/>
      <c r="AA308" s="15"/>
      <c r="AB308" s="15"/>
      <c r="AC308" s="15"/>
      <c r="AD308" s="15"/>
      <c r="AE308" s="15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</row>
    <row r="309" spans="1:43" s="8" customFormat="1" x14ac:dyDescent="0.2">
      <c r="A309" s="9"/>
      <c r="B309" s="9"/>
      <c r="C309" s="9"/>
      <c r="D309" s="9"/>
      <c r="E309" s="9"/>
      <c r="F309" s="9"/>
      <c r="G309" s="9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U309" s="13"/>
      <c r="V309" s="12"/>
      <c r="W309" s="13"/>
      <c r="Y309" s="13"/>
      <c r="Z309" s="15"/>
      <c r="AA309" s="15"/>
      <c r="AB309" s="15"/>
      <c r="AC309" s="15"/>
      <c r="AD309" s="15"/>
      <c r="AE309" s="15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</row>
    <row r="310" spans="1:43" s="8" customFormat="1" x14ac:dyDescent="0.2">
      <c r="A310" s="9"/>
      <c r="B310" s="9"/>
      <c r="C310" s="9"/>
      <c r="D310" s="9"/>
      <c r="E310" s="9"/>
      <c r="F310" s="9"/>
      <c r="G310" s="9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U310" s="13"/>
      <c r="V310" s="12"/>
      <c r="W310" s="13"/>
      <c r="Y310" s="13"/>
      <c r="Z310" s="15"/>
      <c r="AA310" s="15"/>
      <c r="AB310" s="15"/>
      <c r="AC310" s="15"/>
      <c r="AD310" s="15"/>
      <c r="AE310" s="15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</row>
    <row r="311" spans="1:43" s="8" customFormat="1" x14ac:dyDescent="0.2">
      <c r="A311" s="9"/>
      <c r="B311" s="9"/>
      <c r="C311" s="9"/>
      <c r="D311" s="9"/>
      <c r="E311" s="9"/>
      <c r="F311" s="9"/>
      <c r="G311" s="9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U311" s="13"/>
      <c r="V311" s="12"/>
      <c r="W311" s="13"/>
      <c r="Y311" s="13"/>
      <c r="Z311" s="15"/>
      <c r="AA311" s="15"/>
      <c r="AB311" s="15"/>
      <c r="AC311" s="15"/>
      <c r="AD311" s="15"/>
      <c r="AE311" s="15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</row>
    <row r="312" spans="1:43" s="8" customFormat="1" x14ac:dyDescent="0.2">
      <c r="A312" s="9"/>
      <c r="B312" s="9"/>
      <c r="C312" s="9"/>
      <c r="D312" s="9"/>
      <c r="E312" s="9"/>
      <c r="F312" s="9"/>
      <c r="G312" s="9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U312" s="13"/>
      <c r="V312" s="12"/>
      <c r="W312" s="13"/>
      <c r="Y312" s="13"/>
      <c r="Z312" s="15"/>
      <c r="AA312" s="15"/>
      <c r="AB312" s="15"/>
      <c r="AC312" s="15"/>
      <c r="AD312" s="15"/>
      <c r="AE312" s="15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</row>
    <row r="313" spans="1:43" s="8" customFormat="1" x14ac:dyDescent="0.2">
      <c r="A313" s="9"/>
      <c r="B313" s="9"/>
      <c r="C313" s="9"/>
      <c r="D313" s="9"/>
      <c r="E313" s="9"/>
      <c r="F313" s="9"/>
      <c r="G313" s="9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U313" s="13"/>
      <c r="V313" s="12"/>
      <c r="W313" s="13"/>
      <c r="Y313" s="13"/>
      <c r="Z313" s="15"/>
      <c r="AA313" s="15"/>
      <c r="AB313" s="15"/>
      <c r="AC313" s="15"/>
      <c r="AD313" s="15"/>
      <c r="AE313" s="15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</row>
    <row r="314" spans="1:43" s="8" customFormat="1" x14ac:dyDescent="0.2">
      <c r="A314" s="9"/>
      <c r="B314" s="9"/>
      <c r="C314" s="9"/>
      <c r="D314" s="9"/>
      <c r="E314" s="9"/>
      <c r="F314" s="9"/>
      <c r="G314" s="9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U314" s="13"/>
      <c r="V314" s="12"/>
      <c r="W314" s="13"/>
      <c r="Y314" s="13"/>
      <c r="Z314" s="15"/>
      <c r="AA314" s="15"/>
      <c r="AB314" s="15"/>
      <c r="AC314" s="15"/>
      <c r="AD314" s="15"/>
      <c r="AE314" s="15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</row>
    <row r="315" spans="1:43" s="8" customFormat="1" x14ac:dyDescent="0.2">
      <c r="A315" s="9"/>
      <c r="B315" s="9"/>
      <c r="C315" s="9"/>
      <c r="D315" s="9"/>
      <c r="E315" s="9"/>
      <c r="F315" s="9"/>
      <c r="G315" s="9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U315" s="13"/>
      <c r="V315" s="12"/>
      <c r="W315" s="13"/>
      <c r="Y315" s="13"/>
      <c r="Z315" s="15"/>
      <c r="AA315" s="15"/>
      <c r="AB315" s="15"/>
      <c r="AC315" s="15"/>
      <c r="AD315" s="15"/>
      <c r="AE315" s="15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</row>
    <row r="316" spans="1:43" s="8" customFormat="1" x14ac:dyDescent="0.2">
      <c r="A316" s="9"/>
      <c r="B316" s="9"/>
      <c r="C316" s="9"/>
      <c r="D316" s="9"/>
      <c r="E316" s="9"/>
      <c r="F316" s="9"/>
      <c r="G316" s="9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U316" s="13"/>
      <c r="V316" s="12"/>
      <c r="W316" s="13"/>
      <c r="Y316" s="13"/>
      <c r="Z316" s="15"/>
      <c r="AA316" s="15"/>
      <c r="AB316" s="15"/>
      <c r="AC316" s="15"/>
      <c r="AD316" s="15"/>
      <c r="AE316" s="15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</row>
    <row r="317" spans="1:43" s="8" customFormat="1" x14ac:dyDescent="0.2">
      <c r="A317" s="9"/>
      <c r="B317" s="9"/>
      <c r="C317" s="9"/>
      <c r="D317" s="9"/>
      <c r="E317" s="9"/>
      <c r="F317" s="9"/>
      <c r="G317" s="9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U317" s="13"/>
      <c r="V317" s="12"/>
      <c r="W317" s="13"/>
      <c r="Y317" s="13"/>
      <c r="Z317" s="15"/>
      <c r="AA317" s="15"/>
      <c r="AB317" s="15"/>
      <c r="AC317" s="15"/>
      <c r="AD317" s="15"/>
      <c r="AE317" s="15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</row>
    <row r="318" spans="1:43" s="8" customFormat="1" x14ac:dyDescent="0.2">
      <c r="A318" s="9"/>
      <c r="B318" s="9"/>
      <c r="C318" s="9"/>
      <c r="D318" s="9"/>
      <c r="E318" s="9"/>
      <c r="F318" s="9"/>
      <c r="G318" s="9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U318" s="13"/>
      <c r="V318" s="12"/>
      <c r="W318" s="13"/>
      <c r="Y318" s="13"/>
      <c r="Z318" s="15"/>
      <c r="AA318" s="15"/>
      <c r="AB318" s="15"/>
      <c r="AC318" s="15"/>
      <c r="AD318" s="15"/>
      <c r="AE318" s="15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</row>
    <row r="319" spans="1:43" s="8" customFormat="1" x14ac:dyDescent="0.2">
      <c r="A319" s="9"/>
      <c r="B319" s="9"/>
      <c r="C319" s="9"/>
      <c r="D319" s="9"/>
      <c r="E319" s="9"/>
      <c r="F319" s="9"/>
      <c r="G319" s="9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U319" s="13"/>
      <c r="V319" s="12"/>
      <c r="W319" s="13"/>
      <c r="Y319" s="13"/>
      <c r="Z319" s="15"/>
      <c r="AA319" s="15"/>
      <c r="AB319" s="15"/>
      <c r="AC319" s="15"/>
      <c r="AD319" s="15"/>
      <c r="AE319" s="15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</row>
    <row r="320" spans="1:43" s="8" customFormat="1" x14ac:dyDescent="0.2">
      <c r="A320" s="9"/>
      <c r="B320" s="9"/>
      <c r="C320" s="9"/>
      <c r="D320" s="9"/>
      <c r="E320" s="9"/>
      <c r="F320" s="9"/>
      <c r="G320" s="9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U320" s="13"/>
      <c r="V320" s="12"/>
      <c r="W320" s="13"/>
      <c r="Y320" s="13"/>
      <c r="Z320" s="15"/>
      <c r="AA320" s="15"/>
      <c r="AB320" s="15"/>
      <c r="AC320" s="15"/>
      <c r="AD320" s="15"/>
      <c r="AE320" s="15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</row>
    <row r="321" spans="1:43" s="8" customFormat="1" x14ac:dyDescent="0.2">
      <c r="A321" s="9"/>
      <c r="B321" s="9"/>
      <c r="C321" s="9"/>
      <c r="D321" s="9"/>
      <c r="E321" s="9"/>
      <c r="F321" s="9"/>
      <c r="G321" s="9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U321" s="13"/>
      <c r="V321" s="12"/>
      <c r="W321" s="13"/>
      <c r="Y321" s="13"/>
      <c r="Z321" s="15"/>
      <c r="AA321" s="15"/>
      <c r="AB321" s="15"/>
      <c r="AC321" s="15"/>
      <c r="AD321" s="15"/>
      <c r="AE321" s="15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</row>
    <row r="322" spans="1:43" s="8" customFormat="1" x14ac:dyDescent="0.2">
      <c r="A322" s="9"/>
      <c r="B322" s="9"/>
      <c r="C322" s="9"/>
      <c r="D322" s="9"/>
      <c r="E322" s="9"/>
      <c r="F322" s="9"/>
      <c r="G322" s="9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U322" s="13"/>
      <c r="V322" s="12"/>
      <c r="W322" s="13"/>
      <c r="Y322" s="13"/>
      <c r="Z322" s="15"/>
      <c r="AA322" s="15"/>
      <c r="AB322" s="15"/>
      <c r="AC322" s="15"/>
      <c r="AD322" s="15"/>
      <c r="AE322" s="15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</row>
    <row r="323" spans="1:43" s="8" customFormat="1" x14ac:dyDescent="0.2">
      <c r="A323" s="9"/>
      <c r="B323" s="9"/>
      <c r="C323" s="9"/>
      <c r="D323" s="9"/>
      <c r="E323" s="9"/>
      <c r="F323" s="9"/>
      <c r="G323" s="9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U323" s="13"/>
      <c r="V323" s="12"/>
      <c r="W323" s="13"/>
      <c r="Y323" s="13"/>
      <c r="Z323" s="15"/>
      <c r="AA323" s="15"/>
      <c r="AB323" s="15"/>
      <c r="AC323" s="15"/>
      <c r="AD323" s="15"/>
      <c r="AE323" s="15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</row>
    <row r="324" spans="1:43" s="8" customFormat="1" x14ac:dyDescent="0.2">
      <c r="A324" s="9"/>
      <c r="B324" s="9"/>
      <c r="C324" s="9"/>
      <c r="D324" s="9"/>
      <c r="E324" s="9"/>
      <c r="F324" s="9"/>
      <c r="G324" s="9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U324" s="13"/>
      <c r="V324" s="12"/>
      <c r="W324" s="13"/>
      <c r="Y324" s="13"/>
      <c r="Z324" s="15"/>
      <c r="AA324" s="15"/>
      <c r="AB324" s="15"/>
      <c r="AC324" s="15"/>
      <c r="AD324" s="15"/>
      <c r="AE324" s="15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</row>
    <row r="325" spans="1:43" s="8" customFormat="1" x14ac:dyDescent="0.2">
      <c r="A325" s="9"/>
      <c r="B325" s="9"/>
      <c r="C325" s="9"/>
      <c r="D325" s="9"/>
      <c r="E325" s="9"/>
      <c r="F325" s="9"/>
      <c r="G325" s="9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U325" s="13"/>
      <c r="V325" s="12"/>
      <c r="W325" s="13"/>
      <c r="Y325" s="13"/>
      <c r="Z325" s="15"/>
      <c r="AA325" s="15"/>
      <c r="AB325" s="15"/>
      <c r="AC325" s="15"/>
      <c r="AD325" s="15"/>
      <c r="AE325" s="15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</row>
    <row r="326" spans="1:43" s="8" customFormat="1" x14ac:dyDescent="0.2">
      <c r="A326" s="9"/>
      <c r="B326" s="9"/>
      <c r="C326" s="9"/>
      <c r="D326" s="9"/>
      <c r="E326" s="9"/>
      <c r="F326" s="9"/>
      <c r="G326" s="9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U326" s="13"/>
      <c r="V326" s="12"/>
      <c r="W326" s="13"/>
      <c r="Y326" s="13"/>
      <c r="Z326" s="15"/>
      <c r="AA326" s="15"/>
      <c r="AB326" s="15"/>
      <c r="AC326" s="15"/>
      <c r="AD326" s="15"/>
      <c r="AE326" s="15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</row>
    <row r="327" spans="1:43" s="8" customFormat="1" x14ac:dyDescent="0.2">
      <c r="A327" s="9"/>
      <c r="B327" s="9"/>
      <c r="C327" s="9"/>
      <c r="D327" s="9"/>
      <c r="E327" s="9"/>
      <c r="F327" s="9"/>
      <c r="G327" s="9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U327" s="13"/>
      <c r="V327" s="12"/>
      <c r="W327" s="13"/>
      <c r="Y327" s="13"/>
      <c r="Z327" s="15"/>
      <c r="AA327" s="15"/>
      <c r="AB327" s="15"/>
      <c r="AC327" s="15"/>
      <c r="AD327" s="15"/>
      <c r="AE327" s="15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</row>
    <row r="328" spans="1:43" s="8" customFormat="1" x14ac:dyDescent="0.2">
      <c r="A328" s="9"/>
      <c r="B328" s="9"/>
      <c r="C328" s="9"/>
      <c r="D328" s="9"/>
      <c r="E328" s="9"/>
      <c r="F328" s="9"/>
      <c r="G328" s="9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U328" s="13"/>
      <c r="V328" s="12"/>
      <c r="W328" s="13"/>
      <c r="Y328" s="13"/>
      <c r="Z328" s="15"/>
      <c r="AA328" s="15"/>
      <c r="AB328" s="15"/>
      <c r="AC328" s="15"/>
      <c r="AD328" s="15"/>
      <c r="AE328" s="15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</row>
    <row r="329" spans="1:43" s="8" customFormat="1" x14ac:dyDescent="0.2">
      <c r="A329" s="9"/>
      <c r="B329" s="9"/>
      <c r="C329" s="9"/>
      <c r="D329" s="9"/>
      <c r="E329" s="9"/>
      <c r="F329" s="9"/>
      <c r="G329" s="9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U329" s="13"/>
      <c r="V329" s="12"/>
      <c r="W329" s="13"/>
      <c r="Y329" s="13"/>
      <c r="Z329" s="15"/>
      <c r="AA329" s="15"/>
      <c r="AB329" s="15"/>
      <c r="AC329" s="15"/>
      <c r="AD329" s="15"/>
      <c r="AE329" s="15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</row>
    <row r="330" spans="1:43" s="8" customFormat="1" x14ac:dyDescent="0.2">
      <c r="A330" s="9"/>
      <c r="B330" s="9"/>
      <c r="C330" s="9"/>
      <c r="D330" s="9"/>
      <c r="E330" s="9"/>
      <c r="F330" s="9"/>
      <c r="G330" s="9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U330" s="13"/>
      <c r="V330" s="12"/>
      <c r="W330" s="13"/>
      <c r="Y330" s="13"/>
      <c r="Z330" s="15"/>
      <c r="AA330" s="15"/>
      <c r="AB330" s="15"/>
      <c r="AC330" s="15"/>
      <c r="AD330" s="15"/>
      <c r="AE330" s="15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</row>
    <row r="331" spans="1:43" s="8" customFormat="1" x14ac:dyDescent="0.2">
      <c r="A331" s="9"/>
      <c r="B331" s="9"/>
      <c r="C331" s="9"/>
      <c r="D331" s="9"/>
      <c r="E331" s="9"/>
      <c r="F331" s="9"/>
      <c r="G331" s="9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U331" s="13"/>
      <c r="V331" s="12"/>
      <c r="W331" s="13"/>
      <c r="Y331" s="13"/>
      <c r="Z331" s="15"/>
      <c r="AA331" s="15"/>
      <c r="AB331" s="15"/>
      <c r="AC331" s="15"/>
      <c r="AD331" s="15"/>
      <c r="AE331" s="15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</row>
    <row r="332" spans="1:43" s="8" customFormat="1" x14ac:dyDescent="0.2">
      <c r="A332" s="9"/>
      <c r="B332" s="9"/>
      <c r="C332" s="9"/>
      <c r="D332" s="9"/>
      <c r="E332" s="9"/>
      <c r="F332" s="9"/>
      <c r="G332" s="9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U332" s="13"/>
      <c r="V332" s="12"/>
      <c r="W332" s="13"/>
      <c r="Y332" s="13"/>
      <c r="Z332" s="15"/>
      <c r="AA332" s="15"/>
      <c r="AB332" s="15"/>
      <c r="AC332" s="15"/>
      <c r="AD332" s="15"/>
      <c r="AE332" s="15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</row>
    <row r="333" spans="1:43" s="8" customFormat="1" x14ac:dyDescent="0.2">
      <c r="A333" s="9"/>
      <c r="B333" s="9"/>
      <c r="C333" s="9"/>
      <c r="D333" s="9"/>
      <c r="E333" s="9"/>
      <c r="F333" s="9"/>
      <c r="G333" s="9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U333" s="13"/>
      <c r="V333" s="12"/>
      <c r="W333" s="13"/>
      <c r="Y333" s="13"/>
      <c r="Z333" s="15"/>
      <c r="AA333" s="15"/>
      <c r="AB333" s="15"/>
      <c r="AC333" s="15"/>
      <c r="AD333" s="15"/>
      <c r="AE333" s="15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</row>
    <row r="334" spans="1:43" s="8" customFormat="1" x14ac:dyDescent="0.2">
      <c r="A334" s="9"/>
      <c r="B334" s="9"/>
      <c r="C334" s="9"/>
      <c r="D334" s="9"/>
      <c r="E334" s="9"/>
      <c r="F334" s="9"/>
      <c r="G334" s="9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U334" s="13"/>
      <c r="V334" s="12"/>
      <c r="W334" s="13"/>
      <c r="Y334" s="13"/>
      <c r="Z334" s="15"/>
      <c r="AA334" s="15"/>
      <c r="AB334" s="15"/>
      <c r="AC334" s="15"/>
      <c r="AD334" s="15"/>
      <c r="AE334" s="15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</row>
    <row r="335" spans="1:43" s="8" customFormat="1" x14ac:dyDescent="0.2">
      <c r="A335" s="9"/>
      <c r="B335" s="9"/>
      <c r="C335" s="9"/>
      <c r="D335" s="9"/>
      <c r="E335" s="9"/>
      <c r="F335" s="9"/>
      <c r="G335" s="9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U335" s="13"/>
      <c r="V335" s="12"/>
      <c r="W335" s="13"/>
      <c r="Y335" s="13"/>
      <c r="Z335" s="15"/>
      <c r="AA335" s="15"/>
      <c r="AB335" s="15"/>
      <c r="AC335" s="15"/>
      <c r="AD335" s="15"/>
      <c r="AE335" s="15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</row>
    <row r="336" spans="1:43" s="8" customFormat="1" x14ac:dyDescent="0.2">
      <c r="A336" s="9"/>
      <c r="B336" s="9"/>
      <c r="C336" s="9"/>
      <c r="D336" s="9"/>
      <c r="E336" s="9"/>
      <c r="F336" s="9"/>
      <c r="G336" s="9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U336" s="13"/>
      <c r="V336" s="12"/>
      <c r="W336" s="13"/>
      <c r="Y336" s="13"/>
      <c r="Z336" s="15"/>
      <c r="AA336" s="15"/>
      <c r="AB336" s="15"/>
      <c r="AC336" s="15"/>
      <c r="AD336" s="15"/>
      <c r="AE336" s="15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</row>
    <row r="337" spans="1:43" s="8" customFormat="1" x14ac:dyDescent="0.2">
      <c r="A337" s="9"/>
      <c r="B337" s="9"/>
      <c r="C337" s="9"/>
      <c r="D337" s="9"/>
      <c r="E337" s="9"/>
      <c r="F337" s="9"/>
      <c r="G337" s="9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U337" s="13"/>
      <c r="V337" s="12"/>
      <c r="W337" s="13"/>
      <c r="Y337" s="13"/>
      <c r="Z337" s="15"/>
      <c r="AA337" s="15"/>
      <c r="AB337" s="15"/>
      <c r="AC337" s="15"/>
      <c r="AD337" s="15"/>
      <c r="AE337" s="15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</row>
    <row r="338" spans="1:43" s="8" customFormat="1" x14ac:dyDescent="0.2">
      <c r="A338" s="9"/>
      <c r="B338" s="9"/>
      <c r="C338" s="9"/>
      <c r="D338" s="9"/>
      <c r="E338" s="9"/>
      <c r="F338" s="9"/>
      <c r="G338" s="9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U338" s="13"/>
      <c r="V338" s="12"/>
      <c r="W338" s="13"/>
      <c r="Y338" s="13"/>
      <c r="Z338" s="15"/>
      <c r="AA338" s="15"/>
      <c r="AB338" s="15"/>
      <c r="AC338" s="15"/>
      <c r="AD338" s="15"/>
      <c r="AE338" s="15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</row>
    <row r="339" spans="1:43" s="8" customFormat="1" x14ac:dyDescent="0.2">
      <c r="A339" s="9"/>
      <c r="B339" s="9"/>
      <c r="C339" s="9"/>
      <c r="D339" s="9"/>
      <c r="E339" s="9"/>
      <c r="F339" s="9"/>
      <c r="G339" s="9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U339" s="13"/>
      <c r="V339" s="12"/>
      <c r="W339" s="13"/>
      <c r="Y339" s="13"/>
      <c r="Z339" s="15"/>
      <c r="AA339" s="15"/>
      <c r="AB339" s="15"/>
      <c r="AC339" s="15"/>
      <c r="AD339" s="15"/>
      <c r="AE339" s="15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</row>
    <row r="340" spans="1:43" s="8" customFormat="1" x14ac:dyDescent="0.2">
      <c r="A340" s="9"/>
      <c r="B340" s="9"/>
      <c r="C340" s="9"/>
      <c r="D340" s="9"/>
      <c r="E340" s="9"/>
      <c r="F340" s="9"/>
      <c r="G340" s="9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U340" s="13"/>
      <c r="V340" s="12"/>
      <c r="W340" s="13"/>
      <c r="Y340" s="13"/>
      <c r="Z340" s="15"/>
      <c r="AA340" s="15"/>
      <c r="AB340" s="15"/>
      <c r="AC340" s="15"/>
      <c r="AD340" s="15"/>
      <c r="AE340" s="15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</row>
    <row r="341" spans="1:43" s="8" customFormat="1" x14ac:dyDescent="0.2">
      <c r="A341" s="9"/>
      <c r="B341" s="9"/>
      <c r="C341" s="9"/>
      <c r="D341" s="9"/>
      <c r="E341" s="9"/>
      <c r="F341" s="9"/>
      <c r="G341" s="9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U341" s="13"/>
      <c r="V341" s="12"/>
      <c r="W341" s="13"/>
      <c r="Y341" s="13"/>
      <c r="Z341" s="15"/>
      <c r="AA341" s="15"/>
      <c r="AB341" s="15"/>
      <c r="AC341" s="15"/>
      <c r="AD341" s="15"/>
      <c r="AE341" s="15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</row>
    <row r="342" spans="1:43" s="8" customFormat="1" x14ac:dyDescent="0.2">
      <c r="A342" s="9"/>
      <c r="B342" s="9"/>
      <c r="C342" s="9"/>
      <c r="D342" s="9"/>
      <c r="E342" s="9"/>
      <c r="F342" s="9"/>
      <c r="G342" s="9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U342" s="13"/>
      <c r="V342" s="12"/>
      <c r="W342" s="13"/>
      <c r="Y342" s="13"/>
      <c r="Z342" s="15"/>
      <c r="AA342" s="15"/>
      <c r="AB342" s="15"/>
      <c r="AC342" s="15"/>
      <c r="AD342" s="15"/>
      <c r="AE342" s="15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</row>
    <row r="343" spans="1:43" s="8" customFormat="1" x14ac:dyDescent="0.2">
      <c r="A343" s="9"/>
      <c r="B343" s="9"/>
      <c r="C343" s="9"/>
      <c r="D343" s="9"/>
      <c r="E343" s="9"/>
      <c r="F343" s="9"/>
      <c r="G343" s="9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U343" s="13"/>
      <c r="V343" s="12"/>
      <c r="W343" s="13"/>
      <c r="Y343" s="13"/>
      <c r="Z343" s="15"/>
      <c r="AA343" s="15"/>
      <c r="AB343" s="15"/>
      <c r="AC343" s="15"/>
      <c r="AD343" s="15"/>
      <c r="AE343" s="15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</row>
    <row r="344" spans="1:43" s="8" customFormat="1" x14ac:dyDescent="0.2">
      <c r="A344" s="9"/>
      <c r="B344" s="9"/>
      <c r="C344" s="9"/>
      <c r="D344" s="9"/>
      <c r="E344" s="9"/>
      <c r="F344" s="9"/>
      <c r="G344" s="9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U344" s="13"/>
      <c r="V344" s="12"/>
      <c r="W344" s="13"/>
      <c r="Y344" s="13"/>
      <c r="Z344" s="15"/>
      <c r="AA344" s="15"/>
      <c r="AB344" s="15"/>
      <c r="AC344" s="15"/>
      <c r="AD344" s="15"/>
      <c r="AE344" s="15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</row>
    <row r="345" spans="1:43" s="8" customFormat="1" x14ac:dyDescent="0.2">
      <c r="A345" s="9"/>
      <c r="B345" s="9"/>
      <c r="C345" s="9"/>
      <c r="D345" s="9"/>
      <c r="E345" s="9"/>
      <c r="F345" s="9"/>
      <c r="G345" s="9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U345" s="13"/>
      <c r="V345" s="12"/>
      <c r="W345" s="13"/>
      <c r="Y345" s="13"/>
      <c r="Z345" s="15"/>
      <c r="AA345" s="15"/>
      <c r="AB345" s="15"/>
      <c r="AC345" s="15"/>
      <c r="AD345" s="15"/>
      <c r="AE345" s="15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</row>
    <row r="346" spans="1:43" s="8" customFormat="1" x14ac:dyDescent="0.2">
      <c r="A346" s="9"/>
      <c r="B346" s="9"/>
      <c r="C346" s="9"/>
      <c r="D346" s="9"/>
      <c r="E346" s="9"/>
      <c r="F346" s="9"/>
      <c r="G346" s="9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U346" s="13"/>
      <c r="V346" s="12"/>
      <c r="W346" s="13"/>
      <c r="Y346" s="13"/>
      <c r="Z346" s="15"/>
      <c r="AA346" s="15"/>
      <c r="AB346" s="15"/>
      <c r="AC346" s="15"/>
      <c r="AD346" s="15"/>
      <c r="AE346" s="15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</row>
    <row r="347" spans="1:43" s="8" customFormat="1" x14ac:dyDescent="0.2">
      <c r="A347" s="9"/>
      <c r="B347" s="9"/>
      <c r="C347" s="9"/>
      <c r="D347" s="9"/>
      <c r="E347" s="9"/>
      <c r="F347" s="9"/>
      <c r="G347" s="9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U347" s="13"/>
      <c r="V347" s="12"/>
      <c r="W347" s="13"/>
      <c r="Y347" s="13"/>
      <c r="Z347" s="15"/>
      <c r="AA347" s="15"/>
      <c r="AB347" s="15"/>
      <c r="AC347" s="15"/>
      <c r="AD347" s="15"/>
      <c r="AE347" s="15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</row>
    <row r="348" spans="1:43" s="8" customFormat="1" x14ac:dyDescent="0.2">
      <c r="A348" s="9"/>
      <c r="B348" s="9"/>
      <c r="C348" s="9"/>
      <c r="D348" s="9"/>
      <c r="E348" s="9"/>
      <c r="F348" s="9"/>
      <c r="G348" s="9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U348" s="13"/>
      <c r="V348" s="12"/>
      <c r="W348" s="13"/>
      <c r="Y348" s="13"/>
      <c r="Z348" s="15"/>
      <c r="AA348" s="15"/>
      <c r="AB348" s="15"/>
      <c r="AC348" s="15"/>
      <c r="AD348" s="15"/>
      <c r="AE348" s="15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</row>
    <row r="349" spans="1:43" s="8" customFormat="1" x14ac:dyDescent="0.2">
      <c r="A349" s="9"/>
      <c r="B349" s="9"/>
      <c r="C349" s="9"/>
      <c r="D349" s="9"/>
      <c r="E349" s="9"/>
      <c r="F349" s="9"/>
      <c r="G349" s="9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U349" s="13"/>
      <c r="V349" s="12"/>
      <c r="W349" s="13"/>
      <c r="Y349" s="13"/>
      <c r="Z349" s="15"/>
      <c r="AA349" s="15"/>
      <c r="AB349" s="15"/>
      <c r="AC349" s="15"/>
      <c r="AD349" s="15"/>
      <c r="AE349" s="15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</row>
    <row r="350" spans="1:43" s="8" customFormat="1" x14ac:dyDescent="0.2">
      <c r="A350" s="9"/>
      <c r="B350" s="9"/>
      <c r="C350" s="9"/>
      <c r="D350" s="9"/>
      <c r="E350" s="9"/>
      <c r="F350" s="9"/>
      <c r="G350" s="9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U350" s="13"/>
      <c r="V350" s="12"/>
      <c r="W350" s="13"/>
      <c r="Y350" s="13"/>
      <c r="Z350" s="15"/>
      <c r="AA350" s="15"/>
      <c r="AB350" s="15"/>
      <c r="AC350" s="15"/>
      <c r="AD350" s="15"/>
      <c r="AE350" s="15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</row>
    <row r="351" spans="1:43" s="8" customFormat="1" x14ac:dyDescent="0.2">
      <c r="A351" s="9"/>
      <c r="B351" s="9"/>
      <c r="C351" s="9"/>
      <c r="D351" s="9"/>
      <c r="E351" s="9"/>
      <c r="F351" s="9"/>
      <c r="G351" s="9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U351" s="13"/>
      <c r="V351" s="12"/>
      <c r="W351" s="13"/>
      <c r="Y351" s="13"/>
      <c r="Z351" s="15"/>
      <c r="AA351" s="15"/>
      <c r="AB351" s="15"/>
      <c r="AC351" s="15"/>
      <c r="AD351" s="15"/>
      <c r="AE351" s="15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</row>
    <row r="352" spans="1:43" s="8" customFormat="1" x14ac:dyDescent="0.2">
      <c r="A352" s="9"/>
      <c r="B352" s="9"/>
      <c r="C352" s="9"/>
      <c r="D352" s="9"/>
      <c r="E352" s="9"/>
      <c r="F352" s="9"/>
      <c r="G352" s="9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U352" s="13"/>
      <c r="V352" s="12"/>
      <c r="W352" s="13"/>
      <c r="Y352" s="13"/>
      <c r="Z352" s="15"/>
      <c r="AA352" s="15"/>
      <c r="AB352" s="15"/>
      <c r="AC352" s="15"/>
      <c r="AD352" s="15"/>
      <c r="AE352" s="15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</row>
    <row r="353" spans="1:43" s="8" customFormat="1" x14ac:dyDescent="0.2">
      <c r="A353" s="9"/>
      <c r="B353" s="9"/>
      <c r="C353" s="9"/>
      <c r="D353" s="9"/>
      <c r="E353" s="9"/>
      <c r="F353" s="9"/>
      <c r="G353" s="9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U353" s="13"/>
      <c r="V353" s="12"/>
      <c r="W353" s="13"/>
      <c r="Y353" s="13"/>
      <c r="Z353" s="15"/>
      <c r="AA353" s="15"/>
      <c r="AB353" s="15"/>
      <c r="AC353" s="15"/>
      <c r="AD353" s="15"/>
      <c r="AE353" s="15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</row>
    <row r="354" spans="1:43" s="8" customFormat="1" x14ac:dyDescent="0.2">
      <c r="A354" s="9"/>
      <c r="B354" s="9"/>
      <c r="C354" s="9"/>
      <c r="D354" s="9"/>
      <c r="E354" s="9"/>
      <c r="F354" s="9"/>
      <c r="G354" s="9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U354" s="13"/>
      <c r="V354" s="12"/>
      <c r="W354" s="13"/>
      <c r="Y354" s="13"/>
      <c r="Z354" s="15"/>
      <c r="AA354" s="15"/>
      <c r="AB354" s="15"/>
      <c r="AC354" s="15"/>
      <c r="AD354" s="15"/>
      <c r="AE354" s="15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</row>
    <row r="355" spans="1:43" s="8" customFormat="1" x14ac:dyDescent="0.2">
      <c r="A355" s="9"/>
      <c r="B355" s="9"/>
      <c r="C355" s="9"/>
      <c r="D355" s="9"/>
      <c r="E355" s="9"/>
      <c r="F355" s="9"/>
      <c r="G355" s="9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U355" s="13"/>
      <c r="V355" s="12"/>
      <c r="W355" s="13"/>
      <c r="Y355" s="13"/>
      <c r="Z355" s="15"/>
      <c r="AA355" s="15"/>
      <c r="AB355" s="15"/>
      <c r="AC355" s="15"/>
      <c r="AD355" s="15"/>
      <c r="AE355" s="15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</row>
    <row r="356" spans="1:43" s="8" customFormat="1" x14ac:dyDescent="0.2">
      <c r="A356" s="9"/>
      <c r="B356" s="9"/>
      <c r="C356" s="9"/>
      <c r="D356" s="9"/>
      <c r="E356" s="9"/>
      <c r="F356" s="9"/>
      <c r="G356" s="9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U356" s="13"/>
      <c r="V356" s="12"/>
      <c r="W356" s="13"/>
      <c r="Y356" s="13"/>
      <c r="Z356" s="15"/>
      <c r="AA356" s="15"/>
      <c r="AB356" s="15"/>
      <c r="AC356" s="15"/>
      <c r="AD356" s="15"/>
      <c r="AE356" s="15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</row>
    <row r="357" spans="1:43" s="8" customFormat="1" x14ac:dyDescent="0.2">
      <c r="A357" s="9"/>
      <c r="B357" s="9"/>
      <c r="C357" s="9"/>
      <c r="D357" s="9"/>
      <c r="E357" s="9"/>
      <c r="F357" s="9"/>
      <c r="G357" s="9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U357" s="13"/>
      <c r="V357" s="12"/>
      <c r="W357" s="13"/>
      <c r="Y357" s="13"/>
      <c r="Z357" s="15"/>
      <c r="AA357" s="15"/>
      <c r="AB357" s="15"/>
      <c r="AC357" s="15"/>
      <c r="AD357" s="15"/>
      <c r="AE357" s="15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</row>
    <row r="358" spans="1:43" s="8" customFormat="1" x14ac:dyDescent="0.2">
      <c r="A358" s="9"/>
      <c r="B358" s="9"/>
      <c r="C358" s="9"/>
      <c r="D358" s="9"/>
      <c r="E358" s="9"/>
      <c r="F358" s="9"/>
      <c r="G358" s="9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U358" s="13"/>
      <c r="V358" s="12"/>
      <c r="W358" s="13"/>
      <c r="Y358" s="13"/>
      <c r="Z358" s="15"/>
      <c r="AA358" s="15"/>
      <c r="AB358" s="15"/>
      <c r="AC358" s="15"/>
      <c r="AD358" s="15"/>
      <c r="AE358" s="15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</row>
    <row r="359" spans="1:43" s="8" customFormat="1" x14ac:dyDescent="0.2">
      <c r="A359" s="9"/>
      <c r="B359" s="9"/>
      <c r="C359" s="9"/>
      <c r="D359" s="9"/>
      <c r="E359" s="9"/>
      <c r="F359" s="9"/>
      <c r="G359" s="9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U359" s="13"/>
      <c r="V359" s="12"/>
      <c r="W359" s="13"/>
      <c r="Y359" s="13"/>
      <c r="Z359" s="15"/>
      <c r="AA359" s="15"/>
      <c r="AB359" s="15"/>
      <c r="AC359" s="15"/>
      <c r="AD359" s="15"/>
      <c r="AE359" s="15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</row>
    <row r="360" spans="1:43" s="8" customFormat="1" x14ac:dyDescent="0.2">
      <c r="A360" s="9"/>
      <c r="B360" s="9"/>
      <c r="C360" s="9"/>
      <c r="D360" s="9"/>
      <c r="E360" s="9"/>
      <c r="F360" s="9"/>
      <c r="G360" s="9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U360" s="13"/>
      <c r="V360" s="12"/>
      <c r="W360" s="13"/>
      <c r="Y360" s="13"/>
      <c r="Z360" s="15"/>
      <c r="AA360" s="15"/>
      <c r="AB360" s="15"/>
      <c r="AC360" s="15"/>
      <c r="AD360" s="15"/>
      <c r="AE360" s="15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</row>
    <row r="361" spans="1:43" s="8" customFormat="1" x14ac:dyDescent="0.2">
      <c r="A361" s="9"/>
      <c r="B361" s="9"/>
      <c r="C361" s="9"/>
      <c r="D361" s="9"/>
      <c r="E361" s="9"/>
      <c r="F361" s="9"/>
      <c r="G361" s="9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U361" s="13"/>
      <c r="V361" s="12"/>
      <c r="W361" s="13"/>
      <c r="Y361" s="13"/>
      <c r="Z361" s="15"/>
      <c r="AA361" s="15"/>
      <c r="AB361" s="15"/>
      <c r="AC361" s="15"/>
      <c r="AD361" s="15"/>
      <c r="AE361" s="15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</row>
    <row r="362" spans="1:43" s="8" customFormat="1" x14ac:dyDescent="0.2">
      <c r="A362" s="9"/>
      <c r="B362" s="9"/>
      <c r="C362" s="9"/>
      <c r="D362" s="9"/>
      <c r="E362" s="9"/>
      <c r="F362" s="9"/>
      <c r="G362" s="9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U362" s="13"/>
      <c r="V362" s="12"/>
      <c r="W362" s="13"/>
      <c r="Y362" s="13"/>
      <c r="Z362" s="15"/>
      <c r="AA362" s="15"/>
      <c r="AB362" s="15"/>
      <c r="AC362" s="15"/>
      <c r="AD362" s="15"/>
      <c r="AE362" s="15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</row>
    <row r="363" spans="1:43" s="8" customFormat="1" x14ac:dyDescent="0.2">
      <c r="A363" s="9"/>
      <c r="B363" s="9"/>
      <c r="C363" s="9"/>
      <c r="D363" s="9"/>
      <c r="E363" s="9"/>
      <c r="F363" s="9"/>
      <c r="G363" s="9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U363" s="13"/>
      <c r="V363" s="12"/>
      <c r="W363" s="13"/>
      <c r="Y363" s="13"/>
      <c r="Z363" s="15"/>
      <c r="AA363" s="15"/>
      <c r="AB363" s="15"/>
      <c r="AC363" s="15"/>
      <c r="AD363" s="15"/>
      <c r="AE363" s="15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</row>
    <row r="364" spans="1:43" s="8" customFormat="1" x14ac:dyDescent="0.2">
      <c r="A364" s="9"/>
      <c r="B364" s="9"/>
      <c r="C364" s="9"/>
      <c r="D364" s="9"/>
      <c r="E364" s="9"/>
      <c r="F364" s="9"/>
      <c r="G364" s="9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U364" s="13"/>
      <c r="V364" s="12"/>
      <c r="W364" s="13"/>
      <c r="Y364" s="13"/>
      <c r="Z364" s="15"/>
      <c r="AA364" s="15"/>
      <c r="AB364" s="15"/>
      <c r="AC364" s="15"/>
      <c r="AD364" s="15"/>
      <c r="AE364" s="15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</row>
    <row r="365" spans="1:43" s="8" customFormat="1" x14ac:dyDescent="0.2">
      <c r="A365" s="9"/>
      <c r="B365" s="9"/>
      <c r="C365" s="9"/>
      <c r="D365" s="9"/>
      <c r="E365" s="9"/>
      <c r="F365" s="9"/>
      <c r="G365" s="9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U365" s="13"/>
      <c r="V365" s="12"/>
      <c r="W365" s="13"/>
      <c r="Y365" s="13"/>
      <c r="Z365" s="15"/>
      <c r="AA365" s="15"/>
      <c r="AB365" s="15"/>
      <c r="AC365" s="15"/>
      <c r="AD365" s="15"/>
      <c r="AE365" s="15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</row>
    <row r="366" spans="1:43" s="8" customFormat="1" x14ac:dyDescent="0.2">
      <c r="A366" s="9"/>
      <c r="B366" s="9"/>
      <c r="C366" s="9"/>
      <c r="D366" s="9"/>
      <c r="E366" s="9"/>
      <c r="F366" s="9"/>
      <c r="G366" s="9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U366" s="13"/>
      <c r="V366" s="12"/>
      <c r="W366" s="13"/>
      <c r="Y366" s="13"/>
      <c r="Z366" s="15"/>
      <c r="AA366" s="15"/>
      <c r="AB366" s="15"/>
      <c r="AC366" s="15"/>
      <c r="AD366" s="15"/>
      <c r="AE366" s="15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</row>
    <row r="367" spans="1:43" s="8" customFormat="1" x14ac:dyDescent="0.2">
      <c r="A367" s="9"/>
      <c r="B367" s="9"/>
      <c r="C367" s="9"/>
      <c r="D367" s="9"/>
      <c r="E367" s="9"/>
      <c r="F367" s="9"/>
      <c r="G367" s="9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U367" s="13"/>
      <c r="V367" s="12"/>
      <c r="W367" s="13"/>
      <c r="Y367" s="13"/>
      <c r="Z367" s="15"/>
      <c r="AA367" s="15"/>
      <c r="AB367" s="15"/>
      <c r="AC367" s="15"/>
      <c r="AD367" s="15"/>
      <c r="AE367" s="15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</row>
    <row r="368" spans="1:43" s="8" customFormat="1" x14ac:dyDescent="0.2">
      <c r="A368" s="9"/>
      <c r="B368" s="9"/>
      <c r="C368" s="9"/>
      <c r="D368" s="9"/>
      <c r="E368" s="9"/>
      <c r="F368" s="9"/>
      <c r="G368" s="9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U368" s="13"/>
      <c r="V368" s="12"/>
      <c r="W368" s="13"/>
      <c r="Y368" s="13"/>
      <c r="Z368" s="15"/>
      <c r="AA368" s="15"/>
      <c r="AB368" s="15"/>
      <c r="AC368" s="15"/>
      <c r="AD368" s="15"/>
      <c r="AE368" s="15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</row>
    <row r="369" spans="1:43" s="8" customFormat="1" x14ac:dyDescent="0.2">
      <c r="A369" s="9"/>
      <c r="B369" s="9"/>
      <c r="C369" s="9"/>
      <c r="D369" s="9"/>
      <c r="E369" s="9"/>
      <c r="F369" s="9"/>
      <c r="G369" s="9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U369" s="13"/>
      <c r="V369" s="12"/>
      <c r="W369" s="13"/>
      <c r="Y369" s="13"/>
      <c r="Z369" s="15"/>
      <c r="AA369" s="15"/>
      <c r="AB369" s="15"/>
      <c r="AC369" s="15"/>
      <c r="AD369" s="15"/>
      <c r="AE369" s="15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</row>
    <row r="370" spans="1:43" s="8" customFormat="1" x14ac:dyDescent="0.2">
      <c r="A370" s="9"/>
      <c r="B370" s="9"/>
      <c r="C370" s="9"/>
      <c r="D370" s="9"/>
      <c r="E370" s="9"/>
      <c r="F370" s="9"/>
      <c r="G370" s="9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U370" s="13"/>
      <c r="V370" s="12"/>
      <c r="W370" s="13"/>
      <c r="Y370" s="13"/>
      <c r="Z370" s="15"/>
      <c r="AA370" s="15"/>
      <c r="AB370" s="15"/>
      <c r="AC370" s="15"/>
      <c r="AD370" s="15"/>
      <c r="AE370" s="15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</row>
    <row r="371" spans="1:43" s="8" customFormat="1" x14ac:dyDescent="0.2">
      <c r="A371" s="9"/>
      <c r="B371" s="9"/>
      <c r="C371" s="9"/>
      <c r="D371" s="9"/>
      <c r="E371" s="9"/>
      <c r="F371" s="9"/>
      <c r="G371" s="9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U371" s="13"/>
      <c r="V371" s="12"/>
      <c r="W371" s="13"/>
      <c r="Y371" s="13"/>
      <c r="Z371" s="15"/>
      <c r="AA371" s="15"/>
      <c r="AB371" s="15"/>
      <c r="AC371" s="15"/>
      <c r="AD371" s="15"/>
      <c r="AE371" s="15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</row>
    <row r="372" spans="1:43" s="8" customFormat="1" x14ac:dyDescent="0.2">
      <c r="A372" s="9"/>
      <c r="B372" s="9"/>
      <c r="C372" s="9"/>
      <c r="D372" s="9"/>
      <c r="E372" s="9"/>
      <c r="F372" s="9"/>
      <c r="G372" s="9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U372" s="13"/>
      <c r="V372" s="12"/>
      <c r="W372" s="13"/>
      <c r="Y372" s="13"/>
      <c r="Z372" s="15"/>
      <c r="AA372" s="15"/>
      <c r="AB372" s="15"/>
      <c r="AC372" s="15"/>
      <c r="AD372" s="15"/>
      <c r="AE372" s="15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</row>
    <row r="373" spans="1:43" s="8" customFormat="1" x14ac:dyDescent="0.2">
      <c r="A373" s="9"/>
      <c r="B373" s="9"/>
      <c r="C373" s="9"/>
      <c r="D373" s="9"/>
      <c r="E373" s="9"/>
      <c r="F373" s="9"/>
      <c r="G373" s="9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U373" s="13"/>
      <c r="V373" s="12"/>
      <c r="W373" s="13"/>
      <c r="Y373" s="13"/>
      <c r="Z373" s="15"/>
      <c r="AA373" s="15"/>
      <c r="AB373" s="15"/>
      <c r="AC373" s="15"/>
      <c r="AD373" s="15"/>
      <c r="AE373" s="15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</row>
    <row r="374" spans="1:43" s="8" customFormat="1" x14ac:dyDescent="0.2">
      <c r="A374" s="9"/>
      <c r="B374" s="9"/>
      <c r="C374" s="9"/>
      <c r="D374" s="9"/>
      <c r="E374" s="9"/>
      <c r="F374" s="9"/>
      <c r="G374" s="9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U374" s="13"/>
      <c r="V374" s="12"/>
      <c r="W374" s="13"/>
      <c r="Y374" s="13"/>
      <c r="Z374" s="15"/>
      <c r="AA374" s="15"/>
      <c r="AB374" s="15"/>
      <c r="AC374" s="15"/>
      <c r="AD374" s="15"/>
      <c r="AE374" s="15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</row>
    <row r="375" spans="1:43" s="8" customFormat="1" x14ac:dyDescent="0.2">
      <c r="A375" s="9"/>
      <c r="B375" s="9"/>
      <c r="C375" s="9"/>
      <c r="D375" s="9"/>
      <c r="E375" s="9"/>
      <c r="F375" s="9"/>
      <c r="G375" s="9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U375" s="13"/>
      <c r="V375" s="12"/>
      <c r="W375" s="13"/>
      <c r="Y375" s="13"/>
      <c r="Z375" s="15"/>
      <c r="AA375" s="15"/>
      <c r="AB375" s="15"/>
      <c r="AC375" s="15"/>
      <c r="AD375" s="15"/>
      <c r="AE375" s="15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</row>
    <row r="376" spans="1:43" s="8" customFormat="1" x14ac:dyDescent="0.2">
      <c r="A376" s="9"/>
      <c r="B376" s="9"/>
      <c r="C376" s="9"/>
      <c r="D376" s="9"/>
      <c r="E376" s="9"/>
      <c r="F376" s="9"/>
      <c r="G376" s="9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U376" s="13"/>
      <c r="V376" s="12"/>
      <c r="W376" s="13"/>
      <c r="Y376" s="13"/>
      <c r="Z376" s="15"/>
      <c r="AA376" s="15"/>
      <c r="AB376" s="15"/>
      <c r="AC376" s="15"/>
      <c r="AD376" s="15"/>
      <c r="AE376" s="15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</row>
    <row r="377" spans="1:43" s="8" customFormat="1" x14ac:dyDescent="0.2">
      <c r="A377" s="9"/>
      <c r="B377" s="9"/>
      <c r="C377" s="9"/>
      <c r="D377" s="9"/>
      <c r="E377" s="9"/>
      <c r="F377" s="9"/>
      <c r="G377" s="9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U377" s="13"/>
      <c r="V377" s="12"/>
      <c r="W377" s="13"/>
      <c r="Y377" s="13"/>
      <c r="Z377" s="15"/>
      <c r="AA377" s="15"/>
      <c r="AB377" s="15"/>
      <c r="AC377" s="15"/>
      <c r="AD377" s="15"/>
      <c r="AE377" s="15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</row>
    <row r="378" spans="1:43" s="8" customFormat="1" x14ac:dyDescent="0.2">
      <c r="A378" s="9"/>
      <c r="B378" s="9"/>
      <c r="C378" s="9"/>
      <c r="D378" s="9"/>
      <c r="E378" s="9"/>
      <c r="F378" s="9"/>
      <c r="G378" s="9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U378" s="13"/>
      <c r="V378" s="12"/>
      <c r="W378" s="13"/>
      <c r="Y378" s="13"/>
      <c r="Z378" s="15"/>
      <c r="AA378" s="15"/>
      <c r="AB378" s="15"/>
      <c r="AC378" s="15"/>
      <c r="AD378" s="15"/>
      <c r="AE378" s="15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</row>
    <row r="379" spans="1:43" s="8" customFormat="1" x14ac:dyDescent="0.2">
      <c r="A379" s="9"/>
      <c r="B379" s="9"/>
      <c r="C379" s="9"/>
      <c r="D379" s="9"/>
      <c r="E379" s="9"/>
      <c r="F379" s="9"/>
      <c r="G379" s="9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U379" s="13"/>
      <c r="V379" s="12"/>
      <c r="W379" s="13"/>
      <c r="Y379" s="13"/>
      <c r="Z379" s="15"/>
      <c r="AA379" s="15"/>
      <c r="AB379" s="15"/>
      <c r="AC379" s="15"/>
      <c r="AD379" s="15"/>
      <c r="AE379" s="15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</row>
    <row r="380" spans="1:43" s="8" customFormat="1" x14ac:dyDescent="0.2">
      <c r="A380" s="9"/>
      <c r="B380" s="9"/>
      <c r="C380" s="9"/>
      <c r="D380" s="9"/>
      <c r="E380" s="9"/>
      <c r="F380" s="9"/>
      <c r="G380" s="9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U380" s="13"/>
      <c r="V380" s="12"/>
      <c r="W380" s="13"/>
      <c r="Y380" s="13"/>
      <c r="Z380" s="15"/>
      <c r="AA380" s="15"/>
      <c r="AB380" s="15"/>
      <c r="AC380" s="15"/>
      <c r="AD380" s="15"/>
      <c r="AE380" s="15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</row>
    <row r="381" spans="1:43" s="8" customFormat="1" x14ac:dyDescent="0.2">
      <c r="A381" s="9"/>
      <c r="B381" s="9"/>
      <c r="C381" s="9"/>
      <c r="D381" s="9"/>
      <c r="E381" s="9"/>
      <c r="F381" s="9"/>
      <c r="G381" s="9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U381" s="13"/>
      <c r="V381" s="12"/>
      <c r="W381" s="13"/>
      <c r="Y381" s="13"/>
      <c r="Z381" s="15"/>
      <c r="AA381" s="15"/>
      <c r="AB381" s="15"/>
      <c r="AC381" s="15"/>
      <c r="AD381" s="15"/>
      <c r="AE381" s="15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</row>
    <row r="382" spans="1:43" s="8" customFormat="1" x14ac:dyDescent="0.2">
      <c r="A382" s="9"/>
      <c r="B382" s="9"/>
      <c r="C382" s="9"/>
      <c r="D382" s="9"/>
      <c r="E382" s="9"/>
      <c r="F382" s="9"/>
      <c r="G382" s="9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U382" s="13"/>
      <c r="V382" s="12"/>
      <c r="W382" s="13"/>
      <c r="Y382" s="13"/>
      <c r="Z382" s="15"/>
      <c r="AA382" s="15"/>
      <c r="AB382" s="15"/>
      <c r="AC382" s="15"/>
      <c r="AD382" s="15"/>
      <c r="AE382" s="15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</row>
    <row r="383" spans="1:43" s="8" customFormat="1" x14ac:dyDescent="0.2">
      <c r="A383" s="9"/>
      <c r="B383" s="9"/>
      <c r="C383" s="9"/>
      <c r="D383" s="9"/>
      <c r="E383" s="9"/>
      <c r="F383" s="9"/>
      <c r="G383" s="9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U383" s="13"/>
      <c r="V383" s="12"/>
      <c r="W383" s="13"/>
      <c r="Y383" s="13"/>
      <c r="Z383" s="15"/>
      <c r="AA383" s="15"/>
      <c r="AB383" s="15"/>
      <c r="AC383" s="15"/>
      <c r="AD383" s="15"/>
      <c r="AE383" s="15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</row>
    <row r="384" spans="1:43" s="8" customFormat="1" x14ac:dyDescent="0.2">
      <c r="A384" s="9"/>
      <c r="B384" s="9"/>
      <c r="C384" s="9"/>
      <c r="D384" s="9"/>
      <c r="E384" s="9"/>
      <c r="F384" s="9"/>
      <c r="G384" s="9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U384" s="13"/>
      <c r="V384" s="12"/>
      <c r="W384" s="13"/>
      <c r="Y384" s="13"/>
      <c r="Z384" s="15"/>
      <c r="AA384" s="15"/>
      <c r="AB384" s="15"/>
      <c r="AC384" s="15"/>
      <c r="AD384" s="15"/>
      <c r="AE384" s="15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</row>
    <row r="385" spans="1:43" s="8" customFormat="1" x14ac:dyDescent="0.2">
      <c r="A385" s="9"/>
      <c r="B385" s="9"/>
      <c r="C385" s="9"/>
      <c r="D385" s="9"/>
      <c r="E385" s="9"/>
      <c r="F385" s="9"/>
      <c r="G385" s="9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U385" s="13"/>
      <c r="V385" s="12"/>
      <c r="W385" s="13"/>
      <c r="Y385" s="13"/>
      <c r="Z385" s="15"/>
      <c r="AA385" s="15"/>
      <c r="AB385" s="15"/>
      <c r="AC385" s="15"/>
      <c r="AD385" s="15"/>
      <c r="AE385" s="15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</row>
    <row r="386" spans="1:43" s="8" customFormat="1" x14ac:dyDescent="0.2">
      <c r="A386" s="9"/>
      <c r="B386" s="9"/>
      <c r="C386" s="9"/>
      <c r="D386" s="9"/>
      <c r="E386" s="9"/>
      <c r="F386" s="9"/>
      <c r="G386" s="9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U386" s="13"/>
      <c r="V386" s="12"/>
      <c r="W386" s="13"/>
      <c r="Y386" s="13"/>
      <c r="Z386" s="15"/>
      <c r="AA386" s="15"/>
      <c r="AB386" s="15"/>
      <c r="AC386" s="15"/>
      <c r="AD386" s="15"/>
      <c r="AE386" s="15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</row>
    <row r="387" spans="1:43" s="8" customFormat="1" x14ac:dyDescent="0.2">
      <c r="A387" s="9"/>
      <c r="B387" s="9"/>
      <c r="C387" s="9"/>
      <c r="D387" s="9"/>
      <c r="E387" s="9"/>
      <c r="F387" s="9"/>
      <c r="G387" s="9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U387" s="13"/>
      <c r="V387" s="12"/>
      <c r="W387" s="13"/>
      <c r="Y387" s="13"/>
      <c r="Z387" s="15"/>
      <c r="AA387" s="15"/>
      <c r="AB387" s="15"/>
      <c r="AC387" s="15"/>
      <c r="AD387" s="15"/>
      <c r="AE387" s="15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</row>
    <row r="388" spans="1:43" s="8" customFormat="1" x14ac:dyDescent="0.2">
      <c r="A388" s="9"/>
      <c r="B388" s="9"/>
      <c r="C388" s="9"/>
      <c r="D388" s="9"/>
      <c r="E388" s="9"/>
      <c r="F388" s="9"/>
      <c r="G388" s="9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U388" s="13"/>
      <c r="V388" s="12"/>
      <c r="W388" s="13"/>
      <c r="Y388" s="13"/>
      <c r="Z388" s="15"/>
      <c r="AA388" s="15"/>
      <c r="AB388" s="15"/>
      <c r="AC388" s="15"/>
      <c r="AD388" s="15"/>
      <c r="AE388" s="15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</row>
    <row r="389" spans="1:43" s="8" customFormat="1" x14ac:dyDescent="0.2">
      <c r="A389" s="9"/>
      <c r="B389" s="9"/>
      <c r="C389" s="9"/>
      <c r="D389" s="9"/>
      <c r="E389" s="9"/>
      <c r="F389" s="9"/>
      <c r="G389" s="9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U389" s="13"/>
      <c r="V389" s="12"/>
      <c r="W389" s="13"/>
      <c r="Y389" s="13"/>
      <c r="Z389" s="15"/>
      <c r="AA389" s="15"/>
      <c r="AB389" s="15"/>
      <c r="AC389" s="15"/>
      <c r="AD389" s="15"/>
      <c r="AE389" s="15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</row>
    <row r="390" spans="1:43" s="8" customFormat="1" x14ac:dyDescent="0.2">
      <c r="A390" s="9"/>
      <c r="B390" s="9"/>
      <c r="C390" s="9"/>
      <c r="D390" s="9"/>
      <c r="E390" s="9"/>
      <c r="F390" s="9"/>
      <c r="G390" s="9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U390" s="13"/>
      <c r="V390" s="12"/>
      <c r="W390" s="13"/>
      <c r="Y390" s="13"/>
      <c r="Z390" s="15"/>
      <c r="AA390" s="15"/>
      <c r="AB390" s="15"/>
      <c r="AC390" s="15"/>
      <c r="AD390" s="15"/>
      <c r="AE390" s="15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</row>
    <row r="391" spans="1:43" s="8" customFormat="1" x14ac:dyDescent="0.2">
      <c r="A391" s="9"/>
      <c r="B391" s="9"/>
      <c r="C391" s="9"/>
      <c r="D391" s="9"/>
      <c r="E391" s="9"/>
      <c r="F391" s="9"/>
      <c r="G391" s="9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U391" s="13"/>
      <c r="V391" s="12"/>
      <c r="W391" s="13"/>
      <c r="Y391" s="13"/>
      <c r="Z391" s="15"/>
      <c r="AA391" s="15"/>
      <c r="AB391" s="15"/>
      <c r="AC391" s="15"/>
      <c r="AD391" s="15"/>
      <c r="AE391" s="15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</row>
    <row r="392" spans="1:43" s="8" customFormat="1" x14ac:dyDescent="0.2">
      <c r="A392" s="9"/>
      <c r="B392" s="9"/>
      <c r="C392" s="9"/>
      <c r="D392" s="9"/>
      <c r="E392" s="9"/>
      <c r="F392" s="9"/>
      <c r="G392" s="9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U392" s="13"/>
      <c r="V392" s="12"/>
      <c r="W392" s="13"/>
      <c r="Y392" s="13"/>
      <c r="Z392" s="15"/>
      <c r="AA392" s="15"/>
      <c r="AB392" s="15"/>
      <c r="AC392" s="15"/>
      <c r="AD392" s="15"/>
      <c r="AE392" s="15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</row>
    <row r="393" spans="1:43" s="8" customFormat="1" x14ac:dyDescent="0.2">
      <c r="A393" s="9"/>
      <c r="B393" s="9"/>
      <c r="C393" s="9"/>
      <c r="D393" s="9"/>
      <c r="E393" s="9"/>
      <c r="F393" s="9"/>
      <c r="G393" s="9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U393" s="13"/>
      <c r="V393" s="12"/>
      <c r="W393" s="13"/>
      <c r="Y393" s="13"/>
      <c r="Z393" s="15"/>
      <c r="AA393" s="15"/>
      <c r="AB393" s="15"/>
      <c r="AC393" s="15"/>
      <c r="AD393" s="15"/>
      <c r="AE393" s="15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</row>
    <row r="394" spans="1:43" s="8" customFormat="1" x14ac:dyDescent="0.2">
      <c r="A394" s="9"/>
      <c r="B394" s="9"/>
      <c r="C394" s="9"/>
      <c r="D394" s="9"/>
      <c r="E394" s="9"/>
      <c r="F394" s="9"/>
      <c r="G394" s="9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U394" s="13"/>
      <c r="V394" s="12"/>
      <c r="W394" s="13"/>
      <c r="Y394" s="13"/>
      <c r="Z394" s="15"/>
      <c r="AA394" s="15"/>
      <c r="AB394" s="15"/>
      <c r="AC394" s="15"/>
      <c r="AD394" s="15"/>
      <c r="AE394" s="15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</row>
    <row r="395" spans="1:43" s="8" customFormat="1" x14ac:dyDescent="0.2">
      <c r="A395" s="9"/>
      <c r="B395" s="9"/>
      <c r="C395" s="9"/>
      <c r="D395" s="9"/>
      <c r="E395" s="9"/>
      <c r="F395" s="9"/>
      <c r="G395" s="9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U395" s="13"/>
      <c r="V395" s="12"/>
      <c r="W395" s="13"/>
      <c r="Y395" s="13"/>
      <c r="Z395" s="15"/>
      <c r="AA395" s="15"/>
      <c r="AB395" s="15"/>
      <c r="AC395" s="15"/>
      <c r="AD395" s="15"/>
      <c r="AE395" s="15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</row>
    <row r="396" spans="1:43" s="8" customFormat="1" x14ac:dyDescent="0.2">
      <c r="A396" s="9"/>
      <c r="B396" s="9"/>
      <c r="C396" s="9"/>
      <c r="D396" s="9"/>
      <c r="E396" s="9"/>
      <c r="F396" s="9"/>
      <c r="G396" s="9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U396" s="13"/>
      <c r="V396" s="12"/>
      <c r="W396" s="13"/>
      <c r="Y396" s="13"/>
      <c r="Z396" s="15"/>
      <c r="AA396" s="15"/>
      <c r="AB396" s="15"/>
      <c r="AC396" s="15"/>
      <c r="AD396" s="15"/>
      <c r="AE396" s="15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</row>
    <row r="397" spans="1:43" s="8" customFormat="1" x14ac:dyDescent="0.2">
      <c r="A397" s="9"/>
      <c r="B397" s="9"/>
      <c r="C397" s="9"/>
      <c r="D397" s="9"/>
      <c r="E397" s="9"/>
      <c r="F397" s="9"/>
      <c r="G397" s="9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U397" s="13"/>
      <c r="V397" s="12"/>
      <c r="W397" s="13"/>
      <c r="Y397" s="13"/>
      <c r="Z397" s="15"/>
      <c r="AA397" s="15"/>
      <c r="AB397" s="15"/>
      <c r="AC397" s="15"/>
      <c r="AD397" s="15"/>
      <c r="AE397" s="15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</row>
    <row r="398" spans="1:43" s="8" customFormat="1" x14ac:dyDescent="0.2">
      <c r="A398" s="9"/>
      <c r="B398" s="9"/>
      <c r="C398" s="9"/>
      <c r="D398" s="9"/>
      <c r="E398" s="9"/>
      <c r="F398" s="9"/>
      <c r="G398" s="9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U398" s="13"/>
      <c r="V398" s="12"/>
      <c r="W398" s="13"/>
      <c r="Y398" s="13"/>
      <c r="Z398" s="15"/>
      <c r="AA398" s="15"/>
      <c r="AB398" s="15"/>
      <c r="AC398" s="15"/>
      <c r="AD398" s="15"/>
      <c r="AE398" s="15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</row>
    <row r="399" spans="1:43" s="8" customFormat="1" x14ac:dyDescent="0.2">
      <c r="A399" s="9"/>
      <c r="B399" s="9"/>
      <c r="C399" s="9"/>
      <c r="D399" s="9"/>
      <c r="E399" s="9"/>
      <c r="F399" s="9"/>
      <c r="G399" s="9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U399" s="13"/>
      <c r="V399" s="12"/>
      <c r="W399" s="13"/>
      <c r="Y399" s="13"/>
      <c r="Z399" s="15"/>
      <c r="AA399" s="15"/>
      <c r="AB399" s="15"/>
      <c r="AC399" s="15"/>
      <c r="AD399" s="15"/>
      <c r="AE399" s="15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</row>
    <row r="400" spans="1:43" s="8" customFormat="1" x14ac:dyDescent="0.2">
      <c r="A400" s="9"/>
      <c r="B400" s="9"/>
      <c r="C400" s="9"/>
      <c r="D400" s="9"/>
      <c r="E400" s="9"/>
      <c r="F400" s="9"/>
      <c r="G400" s="9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U400" s="13"/>
      <c r="V400" s="12"/>
      <c r="W400" s="13"/>
      <c r="Y400" s="13"/>
      <c r="Z400" s="15"/>
      <c r="AA400" s="15"/>
      <c r="AB400" s="15"/>
      <c r="AC400" s="15"/>
      <c r="AD400" s="15"/>
      <c r="AE400" s="15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</row>
    <row r="401" spans="1:43" s="8" customFormat="1" x14ac:dyDescent="0.2">
      <c r="A401" s="9"/>
      <c r="B401" s="9"/>
      <c r="C401" s="9"/>
      <c r="D401" s="9"/>
      <c r="E401" s="9"/>
      <c r="F401" s="9"/>
      <c r="G401" s="9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U401" s="13"/>
      <c r="V401" s="12"/>
      <c r="W401" s="13"/>
      <c r="Y401" s="13"/>
      <c r="Z401" s="15"/>
      <c r="AA401" s="15"/>
      <c r="AB401" s="15"/>
      <c r="AC401" s="15"/>
      <c r="AD401" s="15"/>
      <c r="AE401" s="15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</row>
    <row r="402" spans="1:43" s="8" customFormat="1" x14ac:dyDescent="0.2">
      <c r="A402" s="9"/>
      <c r="B402" s="9"/>
      <c r="C402" s="9"/>
      <c r="D402" s="9"/>
      <c r="E402" s="9"/>
      <c r="F402" s="9"/>
      <c r="G402" s="9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U402" s="13"/>
      <c r="V402" s="12"/>
      <c r="W402" s="13"/>
      <c r="Y402" s="13"/>
      <c r="Z402" s="15"/>
      <c r="AA402" s="15"/>
      <c r="AB402" s="15"/>
      <c r="AC402" s="15"/>
      <c r="AD402" s="15"/>
      <c r="AE402" s="15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</row>
    <row r="403" spans="1:43" s="8" customFormat="1" x14ac:dyDescent="0.2">
      <c r="A403" s="9"/>
      <c r="B403" s="9"/>
      <c r="C403" s="9"/>
      <c r="D403" s="9"/>
      <c r="E403" s="9"/>
      <c r="F403" s="9"/>
      <c r="G403" s="9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U403" s="13"/>
      <c r="V403" s="12"/>
      <c r="W403" s="13"/>
      <c r="Y403" s="13"/>
      <c r="Z403" s="15"/>
      <c r="AA403" s="15"/>
      <c r="AB403" s="15"/>
      <c r="AC403" s="15"/>
      <c r="AD403" s="15"/>
      <c r="AE403" s="15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</row>
    <row r="404" spans="1:43" s="8" customFormat="1" x14ac:dyDescent="0.2">
      <c r="A404" s="9"/>
      <c r="B404" s="9"/>
      <c r="C404" s="9"/>
      <c r="D404" s="9"/>
      <c r="E404" s="9"/>
      <c r="F404" s="9"/>
      <c r="G404" s="9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U404" s="13"/>
      <c r="V404" s="12"/>
      <c r="W404" s="13"/>
      <c r="Y404" s="13"/>
      <c r="Z404" s="15"/>
      <c r="AA404" s="15"/>
      <c r="AB404" s="15"/>
      <c r="AC404" s="15"/>
      <c r="AD404" s="15"/>
      <c r="AE404" s="15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</row>
    <row r="405" spans="1:43" s="8" customFormat="1" x14ac:dyDescent="0.2">
      <c r="A405" s="9"/>
      <c r="B405" s="9"/>
      <c r="C405" s="9"/>
      <c r="D405" s="9"/>
      <c r="E405" s="9"/>
      <c r="F405" s="9"/>
      <c r="G405" s="9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U405" s="13"/>
      <c r="V405" s="12"/>
      <c r="W405" s="13"/>
      <c r="Y405" s="13"/>
      <c r="Z405" s="15"/>
      <c r="AA405" s="15"/>
      <c r="AB405" s="15"/>
      <c r="AC405" s="15"/>
      <c r="AD405" s="15"/>
      <c r="AE405" s="15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</row>
    <row r="406" spans="1:43" s="8" customFormat="1" x14ac:dyDescent="0.2">
      <c r="A406" s="9"/>
      <c r="B406" s="9"/>
      <c r="C406" s="9"/>
      <c r="D406" s="9"/>
      <c r="E406" s="9"/>
      <c r="F406" s="9"/>
      <c r="G406" s="9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U406" s="13"/>
      <c r="V406" s="12"/>
      <c r="W406" s="13"/>
      <c r="Y406" s="13"/>
      <c r="Z406" s="15"/>
      <c r="AA406" s="15"/>
      <c r="AB406" s="15"/>
      <c r="AC406" s="15"/>
      <c r="AD406" s="15"/>
      <c r="AE406" s="15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</row>
    <row r="407" spans="1:43" s="8" customFormat="1" x14ac:dyDescent="0.2">
      <c r="A407" s="9"/>
      <c r="B407" s="9"/>
      <c r="C407" s="9"/>
      <c r="D407" s="9"/>
      <c r="E407" s="9"/>
      <c r="F407" s="9"/>
      <c r="G407" s="9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U407" s="13"/>
      <c r="V407" s="12"/>
      <c r="W407" s="13"/>
      <c r="Y407" s="13"/>
      <c r="Z407" s="15"/>
      <c r="AA407" s="15"/>
      <c r="AB407" s="15"/>
      <c r="AC407" s="15"/>
      <c r="AD407" s="15"/>
      <c r="AE407" s="15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</row>
    <row r="408" spans="1:43" s="8" customFormat="1" x14ac:dyDescent="0.2">
      <c r="A408" s="9"/>
      <c r="B408" s="9"/>
      <c r="C408" s="9"/>
      <c r="D408" s="9"/>
      <c r="E408" s="9"/>
      <c r="F408" s="9"/>
      <c r="G408" s="9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U408" s="13"/>
      <c r="V408" s="12"/>
      <c r="W408" s="13"/>
      <c r="Y408" s="13"/>
      <c r="Z408" s="15"/>
      <c r="AA408" s="15"/>
      <c r="AB408" s="15"/>
      <c r="AC408" s="15"/>
      <c r="AD408" s="15"/>
      <c r="AE408" s="15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</row>
    <row r="409" spans="1:43" s="8" customFormat="1" x14ac:dyDescent="0.2">
      <c r="A409" s="9"/>
      <c r="B409" s="9"/>
      <c r="C409" s="9"/>
      <c r="D409" s="9"/>
      <c r="E409" s="9"/>
      <c r="F409" s="9"/>
      <c r="G409" s="9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U409" s="13"/>
      <c r="V409" s="12"/>
      <c r="W409" s="13"/>
      <c r="Y409" s="13"/>
      <c r="Z409" s="15"/>
      <c r="AA409" s="15"/>
      <c r="AB409" s="15"/>
      <c r="AC409" s="15"/>
      <c r="AD409" s="15"/>
      <c r="AE409" s="15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</row>
    <row r="410" spans="1:43" s="8" customFormat="1" x14ac:dyDescent="0.2">
      <c r="A410" s="9"/>
      <c r="B410" s="9"/>
      <c r="C410" s="9"/>
      <c r="D410" s="9"/>
      <c r="E410" s="9"/>
      <c r="F410" s="9"/>
      <c r="G410" s="9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U410" s="13"/>
      <c r="V410" s="12"/>
      <c r="W410" s="13"/>
      <c r="Y410" s="13"/>
      <c r="Z410" s="15"/>
      <c r="AA410" s="15"/>
      <c r="AB410" s="15"/>
      <c r="AC410" s="15"/>
      <c r="AD410" s="15"/>
      <c r="AE410" s="15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</row>
    <row r="411" spans="1:43" s="8" customFormat="1" x14ac:dyDescent="0.2">
      <c r="A411" s="9"/>
      <c r="B411" s="9"/>
      <c r="C411" s="9"/>
      <c r="D411" s="9"/>
      <c r="E411" s="9"/>
      <c r="F411" s="9"/>
      <c r="G411" s="9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U411" s="13"/>
      <c r="V411" s="12"/>
      <c r="W411" s="13"/>
      <c r="Y411" s="13"/>
      <c r="Z411" s="15"/>
      <c r="AA411" s="15"/>
      <c r="AB411" s="15"/>
      <c r="AC411" s="15"/>
      <c r="AD411" s="15"/>
      <c r="AE411" s="15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</row>
    <row r="412" spans="1:43" s="8" customFormat="1" x14ac:dyDescent="0.2">
      <c r="A412" s="9"/>
      <c r="B412" s="9"/>
      <c r="C412" s="9"/>
      <c r="D412" s="9"/>
      <c r="E412" s="9"/>
      <c r="F412" s="9"/>
      <c r="G412" s="9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U412" s="13"/>
      <c r="V412" s="12"/>
      <c r="W412" s="13"/>
      <c r="Y412" s="13"/>
      <c r="Z412" s="15"/>
      <c r="AA412" s="15"/>
      <c r="AB412" s="15"/>
      <c r="AC412" s="15"/>
      <c r="AD412" s="15"/>
      <c r="AE412" s="15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</row>
    <row r="413" spans="1:43" s="8" customFormat="1" x14ac:dyDescent="0.2">
      <c r="A413" s="9"/>
      <c r="B413" s="9"/>
      <c r="C413" s="9"/>
      <c r="D413" s="9"/>
      <c r="E413" s="9"/>
      <c r="F413" s="9"/>
      <c r="G413" s="9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U413" s="13"/>
      <c r="V413" s="12"/>
      <c r="W413" s="13"/>
      <c r="Y413" s="13"/>
      <c r="Z413" s="15"/>
      <c r="AA413" s="15"/>
      <c r="AB413" s="15"/>
      <c r="AC413" s="15"/>
      <c r="AD413" s="15"/>
      <c r="AE413" s="15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</row>
    <row r="414" spans="1:43" s="8" customFormat="1" x14ac:dyDescent="0.2">
      <c r="A414" s="9"/>
      <c r="B414" s="9"/>
      <c r="C414" s="9"/>
      <c r="D414" s="9"/>
      <c r="E414" s="9"/>
      <c r="F414" s="9"/>
      <c r="G414" s="9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U414" s="13"/>
      <c r="V414" s="12"/>
      <c r="W414" s="13"/>
      <c r="Y414" s="13"/>
      <c r="Z414" s="15"/>
      <c r="AA414" s="15"/>
      <c r="AB414" s="15"/>
      <c r="AC414" s="15"/>
      <c r="AD414" s="15"/>
      <c r="AE414" s="15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</row>
    <row r="415" spans="1:43" s="8" customFormat="1" x14ac:dyDescent="0.2">
      <c r="A415" s="9"/>
      <c r="B415" s="9"/>
      <c r="C415" s="9"/>
      <c r="D415" s="9"/>
      <c r="E415" s="9"/>
      <c r="F415" s="9"/>
      <c r="G415" s="9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U415" s="13"/>
      <c r="V415" s="12"/>
      <c r="W415" s="13"/>
      <c r="Y415" s="13"/>
      <c r="Z415" s="15"/>
      <c r="AA415" s="15"/>
      <c r="AB415" s="15"/>
      <c r="AC415" s="15"/>
      <c r="AD415" s="15"/>
      <c r="AE415" s="15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</row>
    <row r="416" spans="1:43" s="8" customFormat="1" x14ac:dyDescent="0.2">
      <c r="A416" s="9"/>
      <c r="B416" s="9"/>
      <c r="C416" s="9"/>
      <c r="D416" s="9"/>
      <c r="E416" s="9"/>
      <c r="F416" s="9"/>
      <c r="G416" s="9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U416" s="13"/>
      <c r="V416" s="12"/>
      <c r="W416" s="13"/>
      <c r="Y416" s="13"/>
      <c r="Z416" s="15"/>
      <c r="AA416" s="15"/>
      <c r="AB416" s="15"/>
      <c r="AC416" s="15"/>
      <c r="AD416" s="15"/>
      <c r="AE416" s="15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</row>
    <row r="417" spans="1:43" s="8" customFormat="1" x14ac:dyDescent="0.2">
      <c r="A417" s="9"/>
      <c r="B417" s="9"/>
      <c r="C417" s="9"/>
      <c r="D417" s="9"/>
      <c r="E417" s="9"/>
      <c r="F417" s="9"/>
      <c r="G417" s="9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U417" s="13"/>
      <c r="V417" s="12"/>
      <c r="W417" s="13"/>
      <c r="Y417" s="13"/>
      <c r="Z417" s="15"/>
      <c r="AA417" s="15"/>
      <c r="AB417" s="15"/>
      <c r="AC417" s="15"/>
      <c r="AD417" s="15"/>
      <c r="AE417" s="15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</row>
    <row r="418" spans="1:43" s="8" customFormat="1" x14ac:dyDescent="0.2">
      <c r="A418" s="9"/>
      <c r="B418" s="9"/>
      <c r="C418" s="9"/>
      <c r="D418" s="9"/>
      <c r="E418" s="9"/>
      <c r="F418" s="9"/>
      <c r="G418" s="9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U418" s="13"/>
      <c r="V418" s="12"/>
      <c r="W418" s="13"/>
      <c r="Y418" s="13"/>
      <c r="Z418" s="15"/>
      <c r="AA418" s="15"/>
      <c r="AB418" s="15"/>
      <c r="AC418" s="15"/>
      <c r="AD418" s="15"/>
      <c r="AE418" s="15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</row>
    <row r="419" spans="1:43" s="8" customFormat="1" x14ac:dyDescent="0.2">
      <c r="A419" s="9"/>
      <c r="B419" s="9"/>
      <c r="C419" s="9"/>
      <c r="D419" s="9"/>
      <c r="E419" s="9"/>
      <c r="F419" s="9"/>
      <c r="G419" s="9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U419" s="13"/>
      <c r="V419" s="12"/>
      <c r="W419" s="13"/>
      <c r="Y419" s="13"/>
      <c r="Z419" s="15"/>
      <c r="AA419" s="15"/>
      <c r="AB419" s="15"/>
      <c r="AC419" s="15"/>
      <c r="AD419" s="15"/>
      <c r="AE419" s="15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</row>
    <row r="420" spans="1:43" s="8" customFormat="1" x14ac:dyDescent="0.2">
      <c r="A420" s="9"/>
      <c r="B420" s="9"/>
      <c r="C420" s="9"/>
      <c r="D420" s="9"/>
      <c r="E420" s="9"/>
      <c r="F420" s="9"/>
      <c r="G420" s="9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U420" s="13"/>
      <c r="V420" s="12"/>
      <c r="W420" s="13"/>
      <c r="Y420" s="13"/>
      <c r="Z420" s="15"/>
      <c r="AA420" s="15"/>
      <c r="AB420" s="15"/>
      <c r="AC420" s="15"/>
      <c r="AD420" s="15"/>
      <c r="AE420" s="15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</row>
    <row r="421" spans="1:43" s="8" customFormat="1" x14ac:dyDescent="0.2">
      <c r="A421" s="9"/>
      <c r="B421" s="9"/>
      <c r="C421" s="9"/>
      <c r="D421" s="9"/>
      <c r="E421" s="9"/>
      <c r="F421" s="9"/>
      <c r="G421" s="9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U421" s="13"/>
      <c r="V421" s="12"/>
      <c r="W421" s="13"/>
      <c r="Y421" s="13"/>
      <c r="Z421" s="15"/>
      <c r="AA421" s="15"/>
      <c r="AB421" s="15"/>
      <c r="AC421" s="15"/>
      <c r="AD421" s="15"/>
      <c r="AE421" s="15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</row>
    <row r="422" spans="1:43" s="8" customFormat="1" x14ac:dyDescent="0.2">
      <c r="A422" s="9"/>
      <c r="B422" s="9"/>
      <c r="C422" s="9"/>
      <c r="D422" s="9"/>
      <c r="E422" s="9"/>
      <c r="F422" s="9"/>
      <c r="G422" s="9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U422" s="13"/>
      <c r="V422" s="12"/>
      <c r="W422" s="13"/>
      <c r="Y422" s="13"/>
      <c r="Z422" s="15"/>
      <c r="AA422" s="15"/>
      <c r="AB422" s="15"/>
      <c r="AC422" s="15"/>
      <c r="AD422" s="15"/>
      <c r="AE422" s="15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</row>
    <row r="423" spans="1:43" s="8" customFormat="1" x14ac:dyDescent="0.2">
      <c r="A423" s="9"/>
      <c r="B423" s="9"/>
      <c r="C423" s="9"/>
      <c r="D423" s="9"/>
      <c r="E423" s="9"/>
      <c r="F423" s="9"/>
      <c r="G423" s="9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U423" s="13"/>
      <c r="V423" s="12"/>
      <c r="W423" s="13"/>
      <c r="Y423" s="13"/>
      <c r="Z423" s="15"/>
      <c r="AA423" s="15"/>
      <c r="AB423" s="15"/>
      <c r="AC423" s="15"/>
      <c r="AD423" s="15"/>
      <c r="AE423" s="15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</row>
    <row r="424" spans="1:43" s="8" customFormat="1" x14ac:dyDescent="0.2">
      <c r="A424" s="9"/>
      <c r="B424" s="9"/>
      <c r="C424" s="9"/>
      <c r="D424" s="9"/>
      <c r="E424" s="9"/>
      <c r="F424" s="9"/>
      <c r="G424" s="9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U424" s="13"/>
      <c r="V424" s="12"/>
      <c r="W424" s="13"/>
      <c r="Y424" s="13"/>
      <c r="Z424" s="15"/>
      <c r="AA424" s="15"/>
      <c r="AB424" s="15"/>
      <c r="AC424" s="15"/>
      <c r="AD424" s="15"/>
      <c r="AE424" s="15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</row>
    <row r="425" spans="1:43" s="8" customFormat="1" x14ac:dyDescent="0.2">
      <c r="A425" s="9"/>
      <c r="B425" s="9"/>
      <c r="C425" s="9"/>
      <c r="D425" s="9"/>
      <c r="E425" s="9"/>
      <c r="F425" s="9"/>
      <c r="G425" s="9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U425" s="13"/>
      <c r="V425" s="12"/>
      <c r="W425" s="13"/>
      <c r="Y425" s="13"/>
      <c r="Z425" s="15"/>
      <c r="AA425" s="15"/>
      <c r="AB425" s="15"/>
      <c r="AC425" s="15"/>
      <c r="AD425" s="15"/>
      <c r="AE425" s="15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</row>
    <row r="426" spans="1:43" s="8" customFormat="1" x14ac:dyDescent="0.2">
      <c r="A426" s="9"/>
      <c r="B426" s="9"/>
      <c r="C426" s="9"/>
      <c r="D426" s="9"/>
      <c r="E426" s="9"/>
      <c r="F426" s="9"/>
      <c r="G426" s="9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U426" s="13"/>
      <c r="V426" s="12"/>
      <c r="W426" s="13"/>
      <c r="Y426" s="13"/>
      <c r="Z426" s="15"/>
      <c r="AA426" s="15"/>
      <c r="AB426" s="15"/>
      <c r="AC426" s="15"/>
      <c r="AD426" s="15"/>
      <c r="AE426" s="15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</row>
    <row r="427" spans="1:43" s="8" customFormat="1" x14ac:dyDescent="0.2">
      <c r="A427" s="9"/>
      <c r="B427" s="9"/>
      <c r="C427" s="9"/>
      <c r="D427" s="9"/>
      <c r="E427" s="9"/>
      <c r="F427" s="9"/>
      <c r="G427" s="9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U427" s="13"/>
      <c r="V427" s="12"/>
      <c r="W427" s="13"/>
      <c r="Y427" s="13"/>
      <c r="Z427" s="15"/>
      <c r="AA427" s="15"/>
      <c r="AB427" s="15"/>
      <c r="AC427" s="15"/>
      <c r="AD427" s="15"/>
      <c r="AE427" s="15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</row>
    <row r="428" spans="1:43" s="8" customFormat="1" x14ac:dyDescent="0.2">
      <c r="A428" s="9"/>
      <c r="B428" s="9"/>
      <c r="C428" s="9"/>
      <c r="D428" s="9"/>
      <c r="E428" s="9"/>
      <c r="F428" s="9"/>
      <c r="G428" s="9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U428" s="13"/>
      <c r="V428" s="12"/>
      <c r="W428" s="13"/>
      <c r="Y428" s="13"/>
      <c r="Z428" s="15"/>
      <c r="AA428" s="15"/>
      <c r="AB428" s="15"/>
      <c r="AC428" s="15"/>
      <c r="AD428" s="15"/>
      <c r="AE428" s="15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</row>
    <row r="429" spans="1:43" s="8" customFormat="1" x14ac:dyDescent="0.2">
      <c r="A429" s="9"/>
      <c r="B429" s="9"/>
      <c r="C429" s="9"/>
      <c r="D429" s="9"/>
      <c r="E429" s="9"/>
      <c r="F429" s="9"/>
      <c r="G429" s="9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U429" s="13"/>
      <c r="V429" s="12"/>
      <c r="W429" s="13"/>
      <c r="Y429" s="13"/>
      <c r="Z429" s="15"/>
      <c r="AA429" s="15"/>
      <c r="AB429" s="15"/>
      <c r="AC429" s="15"/>
      <c r="AD429" s="15"/>
      <c r="AE429" s="15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</row>
    <row r="430" spans="1:43" s="8" customFormat="1" x14ac:dyDescent="0.2">
      <c r="A430" s="9"/>
      <c r="B430" s="9"/>
      <c r="C430" s="9"/>
      <c r="D430" s="9"/>
      <c r="E430" s="9"/>
      <c r="F430" s="9"/>
      <c r="G430" s="9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U430" s="13"/>
      <c r="V430" s="12"/>
      <c r="W430" s="13"/>
      <c r="Y430" s="13"/>
      <c r="Z430" s="15"/>
      <c r="AA430" s="15"/>
      <c r="AB430" s="15"/>
      <c r="AC430" s="15"/>
      <c r="AD430" s="15"/>
      <c r="AE430" s="15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</row>
    <row r="431" spans="1:43" s="8" customFormat="1" x14ac:dyDescent="0.2">
      <c r="A431" s="9"/>
      <c r="B431" s="9"/>
      <c r="C431" s="9"/>
      <c r="D431" s="9"/>
      <c r="E431" s="9"/>
      <c r="F431" s="9"/>
      <c r="G431" s="9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U431" s="13"/>
      <c r="V431" s="12"/>
      <c r="W431" s="13"/>
      <c r="Y431" s="13"/>
      <c r="Z431" s="15"/>
      <c r="AA431" s="15"/>
      <c r="AB431" s="15"/>
      <c r="AC431" s="15"/>
      <c r="AD431" s="15"/>
      <c r="AE431" s="15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</row>
    <row r="432" spans="1:43" s="8" customFormat="1" x14ac:dyDescent="0.2">
      <c r="A432" s="9"/>
      <c r="B432" s="9"/>
      <c r="C432" s="9"/>
      <c r="D432" s="9"/>
      <c r="E432" s="9"/>
      <c r="F432" s="9"/>
      <c r="G432" s="9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U432" s="13"/>
      <c r="V432" s="12"/>
      <c r="W432" s="13"/>
      <c r="Y432" s="13"/>
      <c r="Z432" s="15"/>
      <c r="AA432" s="15"/>
      <c r="AB432" s="15"/>
      <c r="AC432" s="15"/>
      <c r="AD432" s="15"/>
      <c r="AE432" s="15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</row>
    <row r="433" spans="1:43" s="8" customFormat="1" x14ac:dyDescent="0.2">
      <c r="A433" s="9"/>
      <c r="B433" s="9"/>
      <c r="C433" s="9"/>
      <c r="D433" s="9"/>
      <c r="E433" s="9"/>
      <c r="F433" s="9"/>
      <c r="G433" s="9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U433" s="13"/>
      <c r="V433" s="12"/>
      <c r="W433" s="13"/>
      <c r="Y433" s="13"/>
      <c r="Z433" s="15"/>
      <c r="AA433" s="15"/>
      <c r="AB433" s="15"/>
      <c r="AC433" s="15"/>
      <c r="AD433" s="15"/>
      <c r="AE433" s="15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</row>
    <row r="434" spans="1:43" s="8" customFormat="1" x14ac:dyDescent="0.2">
      <c r="A434" s="9"/>
      <c r="B434" s="9"/>
      <c r="C434" s="9"/>
      <c r="D434" s="9"/>
      <c r="E434" s="9"/>
      <c r="F434" s="9"/>
      <c r="G434" s="9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U434" s="13"/>
      <c r="V434" s="12"/>
      <c r="W434" s="13"/>
      <c r="Y434" s="13"/>
      <c r="Z434" s="15"/>
      <c r="AA434" s="15"/>
      <c r="AB434" s="15"/>
      <c r="AC434" s="15"/>
      <c r="AD434" s="15"/>
      <c r="AE434" s="15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</row>
    <row r="435" spans="1:43" s="8" customFormat="1" x14ac:dyDescent="0.2">
      <c r="A435" s="9"/>
      <c r="B435" s="9"/>
      <c r="C435" s="9"/>
      <c r="D435" s="9"/>
      <c r="E435" s="9"/>
      <c r="F435" s="9"/>
      <c r="G435" s="9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U435" s="13"/>
      <c r="V435" s="12"/>
      <c r="W435" s="13"/>
      <c r="Y435" s="13"/>
      <c r="Z435" s="15"/>
      <c r="AA435" s="15"/>
      <c r="AB435" s="15"/>
      <c r="AC435" s="15"/>
      <c r="AD435" s="15"/>
      <c r="AE435" s="15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</row>
    <row r="436" spans="1:43" s="8" customFormat="1" x14ac:dyDescent="0.2">
      <c r="A436" s="9"/>
      <c r="B436" s="9"/>
      <c r="C436" s="9"/>
      <c r="D436" s="9"/>
      <c r="E436" s="9"/>
      <c r="F436" s="9"/>
      <c r="G436" s="9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U436" s="13"/>
      <c r="V436" s="12"/>
      <c r="W436" s="13"/>
      <c r="Y436" s="13"/>
      <c r="Z436" s="15"/>
      <c r="AA436" s="15"/>
      <c r="AB436" s="15"/>
      <c r="AC436" s="15"/>
      <c r="AD436" s="15"/>
      <c r="AE436" s="15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</row>
    <row r="437" spans="1:43" s="8" customFormat="1" x14ac:dyDescent="0.2">
      <c r="A437" s="9"/>
      <c r="B437" s="9"/>
      <c r="C437" s="9"/>
      <c r="D437" s="9"/>
      <c r="E437" s="9"/>
      <c r="F437" s="9"/>
      <c r="G437" s="9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U437" s="13"/>
      <c r="V437" s="12"/>
      <c r="W437" s="13"/>
      <c r="Y437" s="13"/>
      <c r="Z437" s="15"/>
      <c r="AA437" s="15"/>
      <c r="AB437" s="15"/>
      <c r="AC437" s="15"/>
      <c r="AD437" s="15"/>
      <c r="AE437" s="15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</row>
    <row r="438" spans="1:43" s="8" customFormat="1" x14ac:dyDescent="0.2">
      <c r="A438" s="9"/>
      <c r="B438" s="9"/>
      <c r="C438" s="9"/>
      <c r="D438" s="9"/>
      <c r="E438" s="9"/>
      <c r="F438" s="9"/>
      <c r="G438" s="9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U438" s="13"/>
      <c r="V438" s="12"/>
      <c r="W438" s="13"/>
      <c r="Y438" s="13"/>
      <c r="Z438" s="15"/>
      <c r="AA438" s="15"/>
      <c r="AB438" s="15"/>
      <c r="AC438" s="15"/>
      <c r="AD438" s="15"/>
      <c r="AE438" s="15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</row>
    <row r="439" spans="1:43" s="8" customFormat="1" x14ac:dyDescent="0.2">
      <c r="A439" s="9"/>
      <c r="B439" s="9"/>
      <c r="C439" s="9"/>
      <c r="D439" s="9"/>
      <c r="E439" s="9"/>
      <c r="F439" s="9"/>
      <c r="G439" s="9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U439" s="13"/>
      <c r="V439" s="12"/>
      <c r="W439" s="13"/>
      <c r="Y439" s="13"/>
      <c r="Z439" s="15"/>
      <c r="AA439" s="15"/>
      <c r="AB439" s="15"/>
      <c r="AC439" s="15"/>
      <c r="AD439" s="15"/>
      <c r="AE439" s="15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</row>
    <row r="440" spans="1:43" s="8" customFormat="1" x14ac:dyDescent="0.2">
      <c r="A440" s="9"/>
      <c r="B440" s="9"/>
      <c r="C440" s="9"/>
      <c r="D440" s="9"/>
      <c r="E440" s="9"/>
      <c r="F440" s="9"/>
      <c r="G440" s="9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U440" s="13"/>
      <c r="V440" s="12"/>
      <c r="W440" s="13"/>
      <c r="Y440" s="13"/>
      <c r="Z440" s="15"/>
      <c r="AA440" s="15"/>
      <c r="AB440" s="15"/>
      <c r="AC440" s="15"/>
      <c r="AD440" s="15"/>
      <c r="AE440" s="15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</row>
    <row r="441" spans="1:43" s="8" customFormat="1" x14ac:dyDescent="0.2">
      <c r="A441" s="9"/>
      <c r="B441" s="9"/>
      <c r="C441" s="9"/>
      <c r="D441" s="9"/>
      <c r="E441" s="9"/>
      <c r="F441" s="9"/>
      <c r="G441" s="9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U441" s="13"/>
      <c r="V441" s="12"/>
      <c r="W441" s="13"/>
      <c r="Y441" s="13"/>
      <c r="Z441" s="15"/>
      <c r="AA441" s="15"/>
      <c r="AB441" s="15"/>
      <c r="AC441" s="15"/>
      <c r="AD441" s="15"/>
      <c r="AE441" s="15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</row>
    <row r="442" spans="1:43" s="8" customFormat="1" x14ac:dyDescent="0.2">
      <c r="A442" s="9"/>
      <c r="B442" s="9"/>
      <c r="C442" s="9"/>
      <c r="D442" s="9"/>
      <c r="E442" s="9"/>
      <c r="F442" s="9"/>
      <c r="G442" s="9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U442" s="13"/>
      <c r="V442" s="12"/>
      <c r="W442" s="13"/>
      <c r="Y442" s="13"/>
      <c r="Z442" s="15"/>
      <c r="AA442" s="15"/>
      <c r="AB442" s="15"/>
      <c r="AC442" s="15"/>
      <c r="AD442" s="15"/>
      <c r="AE442" s="15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</row>
    <row r="443" spans="1:43" s="8" customFormat="1" x14ac:dyDescent="0.2">
      <c r="A443" s="9"/>
      <c r="B443" s="9"/>
      <c r="C443" s="9"/>
      <c r="D443" s="9"/>
      <c r="E443" s="9"/>
      <c r="F443" s="9"/>
      <c r="G443" s="9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U443" s="13"/>
      <c r="V443" s="12"/>
      <c r="W443" s="13"/>
      <c r="Y443" s="13"/>
      <c r="Z443" s="15"/>
      <c r="AA443" s="15"/>
      <c r="AB443" s="15"/>
      <c r="AC443" s="15"/>
      <c r="AD443" s="15"/>
      <c r="AE443" s="15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</row>
    <row r="444" spans="1:43" s="8" customFormat="1" x14ac:dyDescent="0.2">
      <c r="A444" s="9"/>
      <c r="B444" s="9"/>
      <c r="C444" s="9"/>
      <c r="D444" s="9"/>
      <c r="E444" s="9"/>
      <c r="F444" s="9"/>
      <c r="G444" s="9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U444" s="13"/>
      <c r="V444" s="12"/>
      <c r="W444" s="13"/>
      <c r="Y444" s="13"/>
      <c r="Z444" s="15"/>
      <c r="AA444" s="15"/>
      <c r="AB444" s="15"/>
      <c r="AC444" s="15"/>
      <c r="AD444" s="15"/>
      <c r="AE444" s="15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</row>
    <row r="445" spans="1:43" s="8" customFormat="1" x14ac:dyDescent="0.2">
      <c r="A445" s="9"/>
      <c r="B445" s="9"/>
      <c r="C445" s="9"/>
      <c r="D445" s="9"/>
      <c r="E445" s="9"/>
      <c r="F445" s="9"/>
      <c r="G445" s="9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U445" s="13"/>
      <c r="V445" s="12"/>
      <c r="W445" s="13"/>
      <c r="Y445" s="13"/>
      <c r="Z445" s="15"/>
      <c r="AA445" s="15"/>
      <c r="AB445" s="15"/>
      <c r="AC445" s="15"/>
      <c r="AD445" s="15"/>
      <c r="AE445" s="15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</row>
    <row r="446" spans="1:43" s="8" customFormat="1" x14ac:dyDescent="0.2">
      <c r="A446" s="9"/>
      <c r="B446" s="9"/>
      <c r="C446" s="9"/>
      <c r="D446" s="9"/>
      <c r="E446" s="9"/>
      <c r="F446" s="9"/>
      <c r="G446" s="9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U446" s="13"/>
      <c r="V446" s="12"/>
      <c r="W446" s="13"/>
      <c r="Y446" s="13"/>
      <c r="Z446" s="15"/>
      <c r="AA446" s="15"/>
      <c r="AB446" s="15"/>
      <c r="AC446" s="15"/>
      <c r="AD446" s="15"/>
      <c r="AE446" s="15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</row>
    <row r="447" spans="1:43" s="8" customFormat="1" x14ac:dyDescent="0.2">
      <c r="A447" s="9"/>
      <c r="B447" s="9"/>
      <c r="C447" s="9"/>
      <c r="D447" s="9"/>
      <c r="E447" s="9"/>
      <c r="F447" s="9"/>
      <c r="G447" s="9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U447" s="13"/>
      <c r="V447" s="12"/>
      <c r="W447" s="13"/>
      <c r="Y447" s="13"/>
      <c r="Z447" s="15"/>
      <c r="AA447" s="15"/>
      <c r="AB447" s="15"/>
      <c r="AC447" s="15"/>
      <c r="AD447" s="15"/>
      <c r="AE447" s="15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</row>
    <row r="448" spans="1:43" s="8" customFormat="1" x14ac:dyDescent="0.2">
      <c r="A448" s="9"/>
      <c r="B448" s="9"/>
      <c r="C448" s="9"/>
      <c r="D448" s="9"/>
      <c r="E448" s="9"/>
      <c r="F448" s="9"/>
      <c r="G448" s="9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U448" s="13"/>
      <c r="V448" s="12"/>
      <c r="W448" s="13"/>
      <c r="Y448" s="13"/>
      <c r="Z448" s="15"/>
      <c r="AA448" s="15"/>
      <c r="AB448" s="15"/>
      <c r="AC448" s="15"/>
      <c r="AD448" s="15"/>
      <c r="AE448" s="15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</row>
    <row r="449" spans="1:43" s="8" customFormat="1" x14ac:dyDescent="0.2">
      <c r="A449" s="9"/>
      <c r="B449" s="9"/>
      <c r="C449" s="9"/>
      <c r="D449" s="9"/>
      <c r="E449" s="9"/>
      <c r="F449" s="9"/>
      <c r="G449" s="9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U449" s="13"/>
      <c r="V449" s="12"/>
      <c r="W449" s="13"/>
      <c r="Y449" s="13"/>
      <c r="Z449" s="15"/>
      <c r="AA449" s="15"/>
      <c r="AB449" s="15"/>
      <c r="AC449" s="15"/>
      <c r="AD449" s="15"/>
      <c r="AE449" s="15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</row>
    <row r="450" spans="1:43" s="8" customFormat="1" x14ac:dyDescent="0.2">
      <c r="A450" s="9"/>
      <c r="B450" s="9"/>
      <c r="C450" s="9"/>
      <c r="D450" s="9"/>
      <c r="E450" s="9"/>
      <c r="F450" s="9"/>
      <c r="G450" s="9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U450" s="13"/>
      <c r="V450" s="12"/>
      <c r="W450" s="13"/>
      <c r="Y450" s="13"/>
      <c r="Z450" s="15"/>
      <c r="AA450" s="15"/>
      <c r="AB450" s="15"/>
      <c r="AC450" s="15"/>
      <c r="AD450" s="15"/>
      <c r="AE450" s="15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</row>
    <row r="451" spans="1:43" s="8" customFormat="1" x14ac:dyDescent="0.2">
      <c r="A451" s="9"/>
      <c r="B451" s="9"/>
      <c r="C451" s="9"/>
      <c r="D451" s="9"/>
      <c r="E451" s="9"/>
      <c r="F451" s="9"/>
      <c r="G451" s="9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U451" s="13"/>
      <c r="V451" s="12"/>
      <c r="W451" s="13"/>
      <c r="Y451" s="13"/>
      <c r="Z451" s="15"/>
      <c r="AA451" s="15"/>
      <c r="AB451" s="15"/>
      <c r="AC451" s="15"/>
      <c r="AD451" s="15"/>
      <c r="AE451" s="15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</row>
    <row r="452" spans="1:43" s="8" customFormat="1" x14ac:dyDescent="0.2">
      <c r="A452" s="9"/>
      <c r="B452" s="9"/>
      <c r="C452" s="9"/>
      <c r="D452" s="9"/>
      <c r="E452" s="9"/>
      <c r="F452" s="9"/>
      <c r="G452" s="9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U452" s="13"/>
      <c r="V452" s="12"/>
      <c r="W452" s="13"/>
      <c r="Y452" s="13"/>
      <c r="Z452" s="15"/>
      <c r="AA452" s="15"/>
      <c r="AB452" s="15"/>
      <c r="AC452" s="15"/>
      <c r="AD452" s="15"/>
      <c r="AE452" s="15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</row>
    <row r="453" spans="1:43" s="8" customFormat="1" x14ac:dyDescent="0.2">
      <c r="A453" s="9"/>
      <c r="B453" s="9"/>
      <c r="C453" s="9"/>
      <c r="D453" s="9"/>
      <c r="E453" s="9"/>
      <c r="F453" s="9"/>
      <c r="G453" s="9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U453" s="13"/>
      <c r="V453" s="12"/>
      <c r="W453" s="13"/>
      <c r="Y453" s="13"/>
      <c r="Z453" s="15"/>
      <c r="AA453" s="15"/>
      <c r="AB453" s="15"/>
      <c r="AC453" s="15"/>
      <c r="AD453" s="15"/>
      <c r="AE453" s="15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</row>
    <row r="454" spans="1:43" s="8" customFormat="1" x14ac:dyDescent="0.2">
      <c r="A454" s="9"/>
      <c r="B454" s="9"/>
      <c r="C454" s="9"/>
      <c r="D454" s="9"/>
      <c r="E454" s="9"/>
      <c r="F454" s="9"/>
      <c r="G454" s="9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U454" s="13"/>
      <c r="V454" s="12"/>
      <c r="W454" s="13"/>
      <c r="Y454" s="13"/>
      <c r="Z454" s="15"/>
      <c r="AA454" s="15"/>
      <c r="AB454" s="15"/>
      <c r="AC454" s="15"/>
      <c r="AD454" s="15"/>
      <c r="AE454" s="15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</row>
    <row r="455" spans="1:43" s="8" customFormat="1" x14ac:dyDescent="0.2">
      <c r="A455" s="9"/>
      <c r="B455" s="9"/>
      <c r="C455" s="9"/>
      <c r="D455" s="9"/>
      <c r="E455" s="9"/>
      <c r="F455" s="9"/>
      <c r="G455" s="9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U455" s="13"/>
      <c r="V455" s="12"/>
      <c r="W455" s="13"/>
      <c r="Y455" s="13"/>
      <c r="Z455" s="15"/>
      <c r="AA455" s="15"/>
      <c r="AB455" s="15"/>
      <c r="AC455" s="15"/>
      <c r="AD455" s="15"/>
      <c r="AE455" s="15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</row>
    <row r="456" spans="1:43" s="8" customFormat="1" x14ac:dyDescent="0.2">
      <c r="A456" s="9"/>
      <c r="B456" s="9"/>
      <c r="C456" s="9"/>
      <c r="D456" s="9"/>
      <c r="E456" s="9"/>
      <c r="F456" s="9"/>
      <c r="G456" s="9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U456" s="13"/>
      <c r="V456" s="12"/>
      <c r="W456" s="13"/>
      <c r="Y456" s="13"/>
      <c r="Z456" s="15"/>
      <c r="AA456" s="15"/>
      <c r="AB456" s="15"/>
      <c r="AC456" s="15"/>
      <c r="AD456" s="15"/>
      <c r="AE456" s="15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</row>
    <row r="457" spans="1:43" s="8" customFormat="1" x14ac:dyDescent="0.2">
      <c r="A457" s="9"/>
      <c r="B457" s="9"/>
      <c r="C457" s="9"/>
      <c r="D457" s="9"/>
      <c r="E457" s="9"/>
      <c r="F457" s="9"/>
      <c r="G457" s="9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U457" s="13"/>
      <c r="V457" s="12"/>
      <c r="W457" s="13"/>
      <c r="Y457" s="13"/>
      <c r="Z457" s="15"/>
      <c r="AA457" s="15"/>
      <c r="AB457" s="15"/>
      <c r="AC457" s="15"/>
      <c r="AD457" s="15"/>
      <c r="AE457" s="15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</row>
    <row r="458" spans="1:43" s="8" customFormat="1" x14ac:dyDescent="0.2">
      <c r="A458" s="9"/>
      <c r="B458" s="9"/>
      <c r="C458" s="9"/>
      <c r="D458" s="9"/>
      <c r="E458" s="9"/>
      <c r="F458" s="9"/>
      <c r="G458" s="9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U458" s="13"/>
      <c r="V458" s="12"/>
      <c r="W458" s="13"/>
      <c r="Y458" s="13"/>
      <c r="Z458" s="15"/>
      <c r="AA458" s="15"/>
      <c r="AB458" s="15"/>
      <c r="AC458" s="15"/>
      <c r="AD458" s="15"/>
      <c r="AE458" s="15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</row>
    <row r="459" spans="1:43" s="8" customFormat="1" x14ac:dyDescent="0.2">
      <c r="A459" s="9"/>
      <c r="B459" s="9"/>
      <c r="C459" s="9"/>
      <c r="D459" s="9"/>
      <c r="E459" s="9"/>
      <c r="F459" s="9"/>
      <c r="G459" s="9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U459" s="13"/>
      <c r="V459" s="12"/>
      <c r="W459" s="13"/>
      <c r="Y459" s="13"/>
      <c r="Z459" s="15"/>
      <c r="AA459" s="15"/>
      <c r="AB459" s="15"/>
      <c r="AC459" s="15"/>
      <c r="AD459" s="15"/>
      <c r="AE459" s="15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</row>
    <row r="460" spans="1:43" s="8" customFormat="1" x14ac:dyDescent="0.2">
      <c r="A460" s="9"/>
      <c r="B460" s="9"/>
      <c r="C460" s="9"/>
      <c r="D460" s="9"/>
      <c r="E460" s="9"/>
      <c r="F460" s="9"/>
      <c r="G460" s="9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U460" s="13"/>
      <c r="V460" s="12"/>
      <c r="W460" s="13"/>
      <c r="Y460" s="13"/>
      <c r="Z460" s="15"/>
      <c r="AA460" s="15"/>
      <c r="AB460" s="15"/>
      <c r="AC460" s="15"/>
      <c r="AD460" s="15"/>
      <c r="AE460" s="15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</row>
    <row r="461" spans="1:43" x14ac:dyDescent="0.2"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8"/>
      <c r="U461" s="13"/>
      <c r="X461" s="8"/>
      <c r="Y461" s="13"/>
    </row>
    <row r="462" spans="1:43" x14ac:dyDescent="0.2"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8"/>
      <c r="U462" s="13"/>
      <c r="X462" s="8"/>
      <c r="Y462" s="13"/>
    </row>
    <row r="463" spans="1:43" x14ac:dyDescent="0.2"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8"/>
      <c r="U463" s="13"/>
      <c r="X463" s="8"/>
      <c r="Y463" s="13"/>
    </row>
    <row r="464" spans="1:43" x14ac:dyDescent="0.2"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8"/>
      <c r="U464" s="13"/>
      <c r="X464" s="8"/>
      <c r="Y464" s="13"/>
    </row>
    <row r="465" spans="8:25" x14ac:dyDescent="0.2"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8"/>
      <c r="U465" s="13"/>
      <c r="X465" s="8"/>
      <c r="Y465" s="13"/>
    </row>
  </sheetData>
  <mergeCells count="42">
    <mergeCell ref="A2:M2"/>
    <mergeCell ref="A3:M3"/>
    <mergeCell ref="C6:C7"/>
    <mergeCell ref="D6:D7"/>
    <mergeCell ref="E6:E7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88:Z88"/>
    <mergeCell ref="A5:R5"/>
    <mergeCell ref="A6:A7"/>
    <mergeCell ref="B6:B7"/>
    <mergeCell ref="T5:AB5"/>
    <mergeCell ref="A87:R87"/>
    <mergeCell ref="A86:B86"/>
    <mergeCell ref="H86:J86"/>
    <mergeCell ref="A9:AE9"/>
    <mergeCell ref="AD6:AE6"/>
    <mergeCell ref="A10:M10"/>
    <mergeCell ref="A67:M67"/>
    <mergeCell ref="A74:M74"/>
    <mergeCell ref="AB6:AC6"/>
    <mergeCell ref="AF76:AF79"/>
    <mergeCell ref="AF43:AF46"/>
    <mergeCell ref="AF68:AF72"/>
    <mergeCell ref="AF49:AF54"/>
    <mergeCell ref="AF38:AF41"/>
    <mergeCell ref="AH11:AH18"/>
    <mergeCell ref="AF11:AF16"/>
    <mergeCell ref="AF22:AF26"/>
    <mergeCell ref="AF6:AF7"/>
    <mergeCell ref="AF55:AF60"/>
    <mergeCell ref="AF17:AF21"/>
    <mergeCell ref="AF28:AF29"/>
  </mergeCells>
  <printOptions horizontalCentered="1"/>
  <pageMargins left="0" right="0" top="0" bottom="0" header="0" footer="0"/>
  <pageSetup paperSize="9" scale="44" fitToWidth="0" fitToHeight="0" pageOrder="overThenDown" orientation="landscape" r:id="rId1"/>
  <rowBreaks count="4" manualBreakCount="4">
    <brk id="21" max="31" man="1"/>
    <brk id="35" max="31" man="1"/>
    <brk id="65" max="31" man="1"/>
    <brk id="89" max="31" man="1"/>
  </rowBreaks>
  <colBreaks count="2" manualBreakCount="2">
    <brk id="11" max="463" man="1"/>
    <brk id="23" max="463" man="1"/>
  </colBreaks>
  <ignoredErrors>
    <ignoredError sqref="B39:B40" formulaRange="1"/>
    <ignoredError sqref="G34:G35 G33 G31 G46 G43 G84:G85 G82 G50 G54 G56 G60 G48 F62:G62 F65:G65" evalError="1"/>
    <ignoredError sqref="F28 B80:D80 D18 E80 D62 D4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Титульный лист</vt:lpstr>
      <vt:lpstr>2019</vt:lpstr>
      <vt:lpstr>'2019'!Заголовки_для_печати</vt:lpstr>
      <vt:lpstr>'2019'!Область_печати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Дульцева Елена Владимировна</cp:lastModifiedBy>
  <cp:lastPrinted>2020-01-13T06:12:20Z</cp:lastPrinted>
  <dcterms:created xsi:type="dcterms:W3CDTF">1996-10-08T23:32:33Z</dcterms:created>
  <dcterms:modified xsi:type="dcterms:W3CDTF">2020-01-13T09:44:08Z</dcterms:modified>
</cp:coreProperties>
</file>