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H115" i="1" s="1"/>
  <c r="F115" i="1"/>
  <c r="F114" i="1" s="1"/>
  <c r="E115" i="1"/>
  <c r="I115" i="1" s="1"/>
  <c r="D115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G114" i="1"/>
  <c r="I114" i="1" s="1"/>
  <c r="E114" i="1"/>
  <c r="D114" i="1"/>
  <c r="H114" i="1" s="1"/>
  <c r="G113" i="1"/>
  <c r="I113" i="1" s="1"/>
  <c r="F113" i="1"/>
  <c r="F112" i="1" s="1"/>
  <c r="E113" i="1"/>
  <c r="D113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G112" i="1"/>
  <c r="E112" i="1"/>
  <c r="I112" i="1" s="1"/>
  <c r="D112" i="1"/>
  <c r="H112" i="1" s="1"/>
  <c r="G111" i="1"/>
  <c r="I111" i="1" s="1"/>
  <c r="F111" i="1"/>
  <c r="E111" i="1"/>
  <c r="D111" i="1"/>
  <c r="G110" i="1"/>
  <c r="F110" i="1" s="1"/>
  <c r="E110" i="1"/>
  <c r="D110" i="1"/>
  <c r="H110" i="1" s="1"/>
  <c r="G109" i="1"/>
  <c r="I109" i="1" s="1"/>
  <c r="F109" i="1"/>
  <c r="F108" i="1" s="1"/>
  <c r="E109" i="1"/>
  <c r="D109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G108" i="1"/>
  <c r="E108" i="1"/>
  <c r="I108" i="1" s="1"/>
  <c r="D108" i="1"/>
  <c r="H108" i="1" s="1"/>
  <c r="G107" i="1"/>
  <c r="I107" i="1" s="1"/>
  <c r="F107" i="1"/>
  <c r="F106" i="1" s="1"/>
  <c r="E107" i="1"/>
  <c r="D107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E106" i="1"/>
  <c r="D106" i="1"/>
  <c r="AF105" i="1"/>
  <c r="AD105" i="1"/>
  <c r="AB105" i="1"/>
  <c r="D105" i="1" s="1"/>
  <c r="D104" i="1" s="1"/>
  <c r="I105" i="1"/>
  <c r="G105" i="1"/>
  <c r="H105" i="1" s="1"/>
  <c r="E105" i="1"/>
  <c r="E104" i="1" s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G104" i="1"/>
  <c r="AG103" i="1"/>
  <c r="AG102" i="1" s="1"/>
  <c r="AF103" i="1"/>
  <c r="AE103" i="1"/>
  <c r="AD103" i="1"/>
  <c r="AC103" i="1"/>
  <c r="AC102" i="1" s="1"/>
  <c r="AB103" i="1"/>
  <c r="AA103" i="1"/>
  <c r="Z103" i="1"/>
  <c r="Y103" i="1"/>
  <c r="Y102" i="1" s="1"/>
  <c r="X103" i="1"/>
  <c r="W103" i="1"/>
  <c r="V103" i="1"/>
  <c r="U103" i="1"/>
  <c r="U102" i="1" s="1"/>
  <c r="T103" i="1"/>
  <c r="S103" i="1"/>
  <c r="R103" i="1"/>
  <c r="Q103" i="1"/>
  <c r="Q102" i="1" s="1"/>
  <c r="P103" i="1"/>
  <c r="O103" i="1"/>
  <c r="N103" i="1"/>
  <c r="M103" i="1"/>
  <c r="L103" i="1"/>
  <c r="K103" i="1"/>
  <c r="J103" i="1"/>
  <c r="E103" i="1"/>
  <c r="E102" i="1" s="1"/>
  <c r="D103" i="1"/>
  <c r="AF102" i="1"/>
  <c r="AE102" i="1"/>
  <c r="AD102" i="1"/>
  <c r="AB102" i="1"/>
  <c r="AA102" i="1"/>
  <c r="Z102" i="1"/>
  <c r="X102" i="1"/>
  <c r="W102" i="1"/>
  <c r="V102" i="1"/>
  <c r="T102" i="1"/>
  <c r="S102" i="1"/>
  <c r="R102" i="1"/>
  <c r="P102" i="1"/>
  <c r="O102" i="1"/>
  <c r="N102" i="1"/>
  <c r="L102" i="1"/>
  <c r="K102" i="1"/>
  <c r="J102" i="1"/>
  <c r="D102" i="1"/>
  <c r="G100" i="1"/>
  <c r="H100" i="1" s="1"/>
  <c r="E100" i="1"/>
  <c r="D100" i="1"/>
  <c r="D99" i="1" s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AC98" i="1"/>
  <c r="X98" i="1"/>
  <c r="X97" i="1" s="1"/>
  <c r="T98" i="1"/>
  <c r="T97" i="1" s="1"/>
  <c r="L98" i="1"/>
  <c r="E98" i="1"/>
  <c r="E97" i="1" s="1"/>
  <c r="D98" i="1"/>
  <c r="D97" i="1" s="1"/>
  <c r="AG97" i="1"/>
  <c r="AF97" i="1"/>
  <c r="AE97" i="1"/>
  <c r="AD97" i="1"/>
  <c r="AB97" i="1"/>
  <c r="AA97" i="1"/>
  <c r="Z97" i="1"/>
  <c r="Y97" i="1"/>
  <c r="W97" i="1"/>
  <c r="V97" i="1"/>
  <c r="U97" i="1"/>
  <c r="S97" i="1"/>
  <c r="R97" i="1"/>
  <c r="Q97" i="1"/>
  <c r="P97" i="1"/>
  <c r="O97" i="1"/>
  <c r="N97" i="1"/>
  <c r="M97" i="1"/>
  <c r="L97" i="1"/>
  <c r="K97" i="1"/>
  <c r="J97" i="1"/>
  <c r="AG96" i="1"/>
  <c r="AG95" i="1" s="1"/>
  <c r="AF96" i="1"/>
  <c r="AF95" i="1" s="1"/>
  <c r="AE96" i="1"/>
  <c r="AD96" i="1"/>
  <c r="AC96" i="1"/>
  <c r="AC95" i="1" s="1"/>
  <c r="AB96" i="1"/>
  <c r="AB95" i="1" s="1"/>
  <c r="AA96" i="1"/>
  <c r="Z96" i="1"/>
  <c r="Y96" i="1"/>
  <c r="Y95" i="1" s="1"/>
  <c r="X96" i="1"/>
  <c r="X95" i="1" s="1"/>
  <c r="W96" i="1"/>
  <c r="V96" i="1"/>
  <c r="U96" i="1"/>
  <c r="U95" i="1" s="1"/>
  <c r="T96" i="1"/>
  <c r="T95" i="1" s="1"/>
  <c r="S96" i="1"/>
  <c r="R96" i="1"/>
  <c r="Q96" i="1"/>
  <c r="Q95" i="1" s="1"/>
  <c r="P96" i="1"/>
  <c r="P95" i="1" s="1"/>
  <c r="O96" i="1"/>
  <c r="N96" i="1"/>
  <c r="M96" i="1"/>
  <c r="L96" i="1"/>
  <c r="L95" i="1" s="1"/>
  <c r="K96" i="1"/>
  <c r="J96" i="1"/>
  <c r="E96" i="1"/>
  <c r="E95" i="1" s="1"/>
  <c r="D96" i="1"/>
  <c r="D95" i="1" s="1"/>
  <c r="AE95" i="1"/>
  <c r="AD95" i="1"/>
  <c r="AA95" i="1"/>
  <c r="Z95" i="1"/>
  <c r="W95" i="1"/>
  <c r="V95" i="1"/>
  <c r="S95" i="1"/>
  <c r="R95" i="1"/>
  <c r="O95" i="1"/>
  <c r="N95" i="1"/>
  <c r="K95" i="1"/>
  <c r="J95" i="1"/>
  <c r="I93" i="1"/>
  <c r="G93" i="1"/>
  <c r="H93" i="1" s="1"/>
  <c r="E93" i="1"/>
  <c r="E92" i="1" s="1"/>
  <c r="D93" i="1"/>
  <c r="D92" i="1" s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G92" i="1"/>
  <c r="AG91" i="1"/>
  <c r="AF91" i="1"/>
  <c r="AF90" i="1" s="1"/>
  <c r="AB91" i="1"/>
  <c r="E91" i="1" s="1"/>
  <c r="E90" i="1" s="1"/>
  <c r="D91" i="1"/>
  <c r="D90" i="1" s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F89" i="1"/>
  <c r="T89" i="1"/>
  <c r="N89" i="1"/>
  <c r="E89" i="1" s="1"/>
  <c r="G89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S88" i="1"/>
  <c r="R88" i="1"/>
  <c r="Q88" i="1"/>
  <c r="P88" i="1"/>
  <c r="O88" i="1"/>
  <c r="M88" i="1"/>
  <c r="L88" i="1"/>
  <c r="K88" i="1"/>
  <c r="J88" i="1"/>
  <c r="E88" i="1"/>
  <c r="AB87" i="1"/>
  <c r="E87" i="1" s="1"/>
  <c r="E86" i="1" s="1"/>
  <c r="G87" i="1"/>
  <c r="F87" i="1" s="1"/>
  <c r="F86" i="1" s="1"/>
  <c r="D87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F85" i="1"/>
  <c r="AB85" i="1"/>
  <c r="Z85" i="1"/>
  <c r="Z83" i="1" s="1"/>
  <c r="T85" i="1"/>
  <c r="R85" i="1"/>
  <c r="P85" i="1"/>
  <c r="O85" i="1"/>
  <c r="G85" i="1" s="1"/>
  <c r="N85" i="1"/>
  <c r="L85" i="1"/>
  <c r="E85" i="1"/>
  <c r="E83" i="1" s="1"/>
  <c r="G84" i="1"/>
  <c r="E84" i="1"/>
  <c r="D84" i="1"/>
  <c r="AG83" i="1"/>
  <c r="AF83" i="1"/>
  <c r="AE83" i="1"/>
  <c r="AD83" i="1"/>
  <c r="AC83" i="1"/>
  <c r="AA83" i="1"/>
  <c r="Y83" i="1"/>
  <c r="X83" i="1"/>
  <c r="W83" i="1"/>
  <c r="V83" i="1"/>
  <c r="U83" i="1"/>
  <c r="T83" i="1"/>
  <c r="S83" i="1"/>
  <c r="R83" i="1"/>
  <c r="Q83" i="1"/>
  <c r="O83" i="1"/>
  <c r="N83" i="1"/>
  <c r="M83" i="1"/>
  <c r="L83" i="1"/>
  <c r="K83" i="1"/>
  <c r="J83" i="1"/>
  <c r="AF82" i="1"/>
  <c r="AE82" i="1"/>
  <c r="AE81" i="1" s="1"/>
  <c r="AD82" i="1"/>
  <c r="AC82" i="1"/>
  <c r="AA82" i="1"/>
  <c r="AA81" i="1" s="1"/>
  <c r="Z82" i="1"/>
  <c r="Y82" i="1"/>
  <c r="X82" i="1"/>
  <c r="W82" i="1"/>
  <c r="W81" i="1" s="1"/>
  <c r="V82" i="1"/>
  <c r="U82" i="1"/>
  <c r="S82" i="1"/>
  <c r="S81" i="1" s="1"/>
  <c r="R82" i="1"/>
  <c r="Q82" i="1"/>
  <c r="O82" i="1"/>
  <c r="O81" i="1" s="1"/>
  <c r="N82" i="1"/>
  <c r="N81" i="1" s="1"/>
  <c r="M82" i="1"/>
  <c r="L82" i="1"/>
  <c r="K82" i="1"/>
  <c r="K81" i="1" s="1"/>
  <c r="J82" i="1"/>
  <c r="AF81" i="1"/>
  <c r="AD81" i="1"/>
  <c r="AC81" i="1"/>
  <c r="Z81" i="1"/>
  <c r="Y81" i="1"/>
  <c r="X81" i="1"/>
  <c r="V81" i="1"/>
  <c r="U81" i="1"/>
  <c r="R81" i="1"/>
  <c r="Q81" i="1"/>
  <c r="M81" i="1"/>
  <c r="L81" i="1"/>
  <c r="Z80" i="1"/>
  <c r="T80" i="1"/>
  <c r="G80" i="1"/>
  <c r="H80" i="1" s="1"/>
  <c r="E80" i="1"/>
  <c r="I80" i="1" s="1"/>
  <c r="D80" i="1"/>
  <c r="G79" i="1"/>
  <c r="E79" i="1"/>
  <c r="D79" i="1"/>
  <c r="V78" i="1"/>
  <c r="G78" i="1"/>
  <c r="F78" i="1"/>
  <c r="H77" i="1"/>
  <c r="G77" i="1"/>
  <c r="F77" i="1" s="1"/>
  <c r="E77" i="1"/>
  <c r="D77" i="1"/>
  <c r="AG76" i="1"/>
  <c r="AF76" i="1"/>
  <c r="AE76" i="1"/>
  <c r="AD76" i="1"/>
  <c r="AC76" i="1"/>
  <c r="AB76" i="1"/>
  <c r="AA76" i="1"/>
  <c r="Z76" i="1"/>
  <c r="Y76" i="1"/>
  <c r="X76" i="1"/>
  <c r="W76" i="1"/>
  <c r="U76" i="1"/>
  <c r="T76" i="1"/>
  <c r="S76" i="1"/>
  <c r="R76" i="1"/>
  <c r="Q76" i="1"/>
  <c r="P76" i="1"/>
  <c r="O76" i="1"/>
  <c r="N76" i="1"/>
  <c r="M76" i="1"/>
  <c r="L76" i="1"/>
  <c r="K76" i="1"/>
  <c r="J76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D75" i="1" s="1"/>
  <c r="H75" i="1" s="1"/>
  <c r="K75" i="1"/>
  <c r="J75" i="1"/>
  <c r="E75" i="1" s="1"/>
  <c r="G75" i="1"/>
  <c r="F75" i="1" s="1"/>
  <c r="AG74" i="1"/>
  <c r="AF74" i="1"/>
  <c r="AE74" i="1"/>
  <c r="AD74" i="1"/>
  <c r="AC74" i="1"/>
  <c r="AB74" i="1"/>
  <c r="AA74" i="1"/>
  <c r="Z74" i="1"/>
  <c r="Y74" i="1"/>
  <c r="X74" i="1"/>
  <c r="W74" i="1"/>
  <c r="U74" i="1"/>
  <c r="T74" i="1"/>
  <c r="S74" i="1"/>
  <c r="R74" i="1"/>
  <c r="Q74" i="1"/>
  <c r="P74" i="1"/>
  <c r="O74" i="1"/>
  <c r="N74" i="1"/>
  <c r="M74" i="1"/>
  <c r="G74" i="1" s="1"/>
  <c r="L74" i="1"/>
  <c r="K74" i="1"/>
  <c r="J74" i="1"/>
  <c r="F74" i="1"/>
  <c r="AG73" i="1"/>
  <c r="AF73" i="1"/>
  <c r="AE73" i="1"/>
  <c r="AE72" i="1" s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E73" i="1" s="1"/>
  <c r="H73" i="1"/>
  <c r="G73" i="1"/>
  <c r="F73" i="1" s="1"/>
  <c r="D73" i="1"/>
  <c r="AG72" i="1"/>
  <c r="AD72" i="1"/>
  <c r="AC72" i="1"/>
  <c r="AA72" i="1"/>
  <c r="Z72" i="1"/>
  <c r="Y72" i="1"/>
  <c r="W72" i="1"/>
  <c r="U72" i="1"/>
  <c r="S72" i="1"/>
  <c r="R72" i="1"/>
  <c r="Q72" i="1"/>
  <c r="O72" i="1"/>
  <c r="N72" i="1"/>
  <c r="M72" i="1"/>
  <c r="K72" i="1"/>
  <c r="J72" i="1"/>
  <c r="F72" i="1"/>
  <c r="AB70" i="1"/>
  <c r="T70" i="1"/>
  <c r="N70" i="1"/>
  <c r="E70" i="1" s="1"/>
  <c r="G70" i="1"/>
  <c r="AE69" i="1"/>
  <c r="AD69" i="1"/>
  <c r="AB69" i="1"/>
  <c r="T69" i="1"/>
  <c r="N69" i="1"/>
  <c r="AB68" i="1"/>
  <c r="T68" i="1"/>
  <c r="G68" i="1"/>
  <c r="F68" i="1"/>
  <c r="AG67" i="1"/>
  <c r="AF67" i="1"/>
  <c r="AD67" i="1"/>
  <c r="AC67" i="1"/>
  <c r="AB67" i="1"/>
  <c r="AA67" i="1"/>
  <c r="Z67" i="1"/>
  <c r="Y67" i="1"/>
  <c r="X67" i="1"/>
  <c r="W67" i="1"/>
  <c r="V67" i="1"/>
  <c r="U67" i="1"/>
  <c r="S67" i="1"/>
  <c r="R67" i="1"/>
  <c r="Q67" i="1"/>
  <c r="P67" i="1"/>
  <c r="O67" i="1"/>
  <c r="N67" i="1"/>
  <c r="M67" i="1"/>
  <c r="L67" i="1"/>
  <c r="K67" i="1"/>
  <c r="J67" i="1"/>
  <c r="AF66" i="1"/>
  <c r="AF62" i="1" s="1"/>
  <c r="AB66" i="1"/>
  <c r="X66" i="1"/>
  <c r="V66" i="1"/>
  <c r="G66" i="1"/>
  <c r="F66" i="1"/>
  <c r="AG65" i="1"/>
  <c r="AF65" i="1"/>
  <c r="AE65" i="1"/>
  <c r="AD65" i="1"/>
  <c r="AC65" i="1"/>
  <c r="AB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5" i="1"/>
  <c r="F65" i="1"/>
  <c r="V64" i="1"/>
  <c r="N64" i="1"/>
  <c r="I64" i="1"/>
  <c r="G64" i="1"/>
  <c r="F64" i="1"/>
  <c r="E64" i="1"/>
  <c r="E63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G63" i="1"/>
  <c r="AG62" i="1"/>
  <c r="AG36" i="1" s="1"/>
  <c r="AE62" i="1"/>
  <c r="AD62" i="1"/>
  <c r="AD60" i="1" s="1"/>
  <c r="AC62" i="1"/>
  <c r="AC36" i="1" s="1"/>
  <c r="AB62" i="1"/>
  <c r="AA62" i="1"/>
  <c r="Z62" i="1"/>
  <c r="Z60" i="1" s="1"/>
  <c r="Y62" i="1"/>
  <c r="Y36" i="1" s="1"/>
  <c r="X62" i="1"/>
  <c r="W62" i="1"/>
  <c r="V62" i="1"/>
  <c r="V60" i="1" s="1"/>
  <c r="U62" i="1"/>
  <c r="U36" i="1" s="1"/>
  <c r="T62" i="1"/>
  <c r="S62" i="1"/>
  <c r="R62" i="1"/>
  <c r="R60" i="1" s="1"/>
  <c r="Q62" i="1"/>
  <c r="Q36" i="1" s="1"/>
  <c r="P62" i="1"/>
  <c r="O62" i="1"/>
  <c r="N62" i="1"/>
  <c r="N60" i="1" s="1"/>
  <c r="M62" i="1"/>
  <c r="L62" i="1"/>
  <c r="K62" i="1"/>
  <c r="J62" i="1"/>
  <c r="D62" i="1" s="1"/>
  <c r="D60" i="1" s="1"/>
  <c r="G61" i="1"/>
  <c r="E61" i="1"/>
  <c r="D61" i="1"/>
  <c r="AG60" i="1"/>
  <c r="AE60" i="1"/>
  <c r="AB60" i="1"/>
  <c r="AA60" i="1"/>
  <c r="X60" i="1"/>
  <c r="W60" i="1"/>
  <c r="T60" i="1"/>
  <c r="S60" i="1"/>
  <c r="P60" i="1"/>
  <c r="O60" i="1"/>
  <c r="L60" i="1"/>
  <c r="K60" i="1"/>
  <c r="G59" i="1"/>
  <c r="E59" i="1"/>
  <c r="D59" i="1"/>
  <c r="D58" i="1" s="1"/>
  <c r="AG58" i="1"/>
  <c r="AF58" i="1"/>
  <c r="AE58" i="1"/>
  <c r="AD58" i="1"/>
  <c r="AD39" i="1" s="1"/>
  <c r="AD35" i="1" s="1"/>
  <c r="AD10" i="1" s="1"/>
  <c r="AC58" i="1"/>
  <c r="AB58" i="1"/>
  <c r="AA58" i="1"/>
  <c r="Z58" i="1"/>
  <c r="Z39" i="1" s="1"/>
  <c r="Z35" i="1" s="1"/>
  <c r="Z10" i="1" s="1"/>
  <c r="Y58" i="1"/>
  <c r="X58" i="1"/>
  <c r="W58" i="1"/>
  <c r="V58" i="1"/>
  <c r="U58" i="1"/>
  <c r="T58" i="1"/>
  <c r="S58" i="1"/>
  <c r="R58" i="1"/>
  <c r="R39" i="1" s="1"/>
  <c r="R35" i="1" s="1"/>
  <c r="R10" i="1" s="1"/>
  <c r="Q58" i="1"/>
  <c r="P58" i="1"/>
  <c r="O58" i="1"/>
  <c r="N58" i="1"/>
  <c r="N39" i="1" s="1"/>
  <c r="N35" i="1" s="1"/>
  <c r="N10" i="1" s="1"/>
  <c r="M58" i="1"/>
  <c r="L58" i="1"/>
  <c r="K58" i="1"/>
  <c r="J58" i="1"/>
  <c r="J39" i="1" s="1"/>
  <c r="J35" i="1" s="1"/>
  <c r="J10" i="1" s="1"/>
  <c r="E58" i="1"/>
  <c r="H57" i="1"/>
  <c r="G57" i="1"/>
  <c r="E57" i="1"/>
  <c r="D57" i="1"/>
  <c r="I56" i="1"/>
  <c r="G56" i="1"/>
  <c r="H56" i="1" s="1"/>
  <c r="F56" i="1"/>
  <c r="E56" i="1"/>
  <c r="E55" i="1" s="1"/>
  <c r="D56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G55" i="1"/>
  <c r="D55" i="1"/>
  <c r="AF54" i="1"/>
  <c r="AF53" i="1" s="1"/>
  <c r="G54" i="1"/>
  <c r="F54" i="1"/>
  <c r="AG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G52" i="1"/>
  <c r="F52" i="1"/>
  <c r="E52" i="1"/>
  <c r="D52" i="1"/>
  <c r="AF51" i="1"/>
  <c r="AF50" i="1" s="1"/>
  <c r="AB51" i="1"/>
  <c r="T51" i="1"/>
  <c r="G51" i="1"/>
  <c r="D51" i="1"/>
  <c r="AG50" i="1"/>
  <c r="AE50" i="1"/>
  <c r="AD50" i="1"/>
  <c r="AC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AF49" i="1"/>
  <c r="G49" i="1"/>
  <c r="F49" i="1"/>
  <c r="E49" i="1"/>
  <c r="E48" i="1" s="1"/>
  <c r="D49" i="1"/>
  <c r="D48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8" i="1"/>
  <c r="F48" i="1"/>
  <c r="AB47" i="1"/>
  <c r="AB46" i="1" s="1"/>
  <c r="V47" i="1"/>
  <c r="V46" i="1" s="1"/>
  <c r="R47" i="1"/>
  <c r="G47" i="1"/>
  <c r="H47" i="1" s="1"/>
  <c r="D47" i="1"/>
  <c r="D46" i="1" s="1"/>
  <c r="AG46" i="1"/>
  <c r="AF46" i="1"/>
  <c r="AE46" i="1"/>
  <c r="AD46" i="1"/>
  <c r="AC46" i="1"/>
  <c r="AA46" i="1"/>
  <c r="Z46" i="1"/>
  <c r="Y46" i="1"/>
  <c r="X46" i="1"/>
  <c r="W46" i="1"/>
  <c r="U46" i="1"/>
  <c r="T46" i="1"/>
  <c r="S46" i="1"/>
  <c r="R46" i="1"/>
  <c r="Q46" i="1"/>
  <c r="P46" i="1"/>
  <c r="O46" i="1"/>
  <c r="N46" i="1"/>
  <c r="M46" i="1"/>
  <c r="L46" i="1"/>
  <c r="K46" i="1"/>
  <c r="J46" i="1"/>
  <c r="Z45" i="1"/>
  <c r="T45" i="1"/>
  <c r="G45" i="1"/>
  <c r="F45" i="1"/>
  <c r="E45" i="1"/>
  <c r="G44" i="1"/>
  <c r="E44" i="1"/>
  <c r="D44" i="1"/>
  <c r="AD43" i="1"/>
  <c r="AC43" i="1"/>
  <c r="AB43" i="1"/>
  <c r="Z43" i="1"/>
  <c r="D43" i="1" s="1"/>
  <c r="H43" i="1" s="1"/>
  <c r="T43" i="1"/>
  <c r="T40" i="1" s="1"/>
  <c r="T36" i="1" s="1"/>
  <c r="R43" i="1"/>
  <c r="P43" i="1"/>
  <c r="G43" i="1"/>
  <c r="F43" i="1"/>
  <c r="E43" i="1"/>
  <c r="I43" i="1" s="1"/>
  <c r="AG42" i="1"/>
  <c r="AF42" i="1"/>
  <c r="AE42" i="1"/>
  <c r="AD42" i="1"/>
  <c r="AC42" i="1"/>
  <c r="AB42" i="1"/>
  <c r="AA42" i="1"/>
  <c r="Y42" i="1"/>
  <c r="X42" i="1"/>
  <c r="W42" i="1"/>
  <c r="V42" i="1"/>
  <c r="U42" i="1"/>
  <c r="S42" i="1"/>
  <c r="R42" i="1"/>
  <c r="Q42" i="1"/>
  <c r="P42" i="1"/>
  <c r="O42" i="1"/>
  <c r="N42" i="1"/>
  <c r="M42" i="1"/>
  <c r="L42" i="1"/>
  <c r="K42" i="1"/>
  <c r="J42" i="1"/>
  <c r="AG41" i="1"/>
  <c r="AG38" i="1" s="1"/>
  <c r="AF41" i="1"/>
  <c r="AF38" i="1" s="1"/>
  <c r="AE41" i="1"/>
  <c r="AD41" i="1"/>
  <c r="AC41" i="1"/>
  <c r="AC38" i="1" s="1"/>
  <c r="AB41" i="1"/>
  <c r="AB38" i="1" s="1"/>
  <c r="AA41" i="1"/>
  <c r="Z41" i="1"/>
  <c r="Y41" i="1"/>
  <c r="Y38" i="1" s="1"/>
  <c r="X41" i="1"/>
  <c r="X38" i="1" s="1"/>
  <c r="W41" i="1"/>
  <c r="V41" i="1"/>
  <c r="U41" i="1"/>
  <c r="U38" i="1" s="1"/>
  <c r="T41" i="1"/>
  <c r="T38" i="1" s="1"/>
  <c r="S41" i="1"/>
  <c r="R41" i="1"/>
  <c r="Q41" i="1"/>
  <c r="Q38" i="1" s="1"/>
  <c r="P41" i="1"/>
  <c r="P38" i="1" s="1"/>
  <c r="O41" i="1"/>
  <c r="N41" i="1"/>
  <c r="M41" i="1"/>
  <c r="L41" i="1"/>
  <c r="L38" i="1" s="1"/>
  <c r="K41" i="1"/>
  <c r="J41" i="1"/>
  <c r="AG40" i="1"/>
  <c r="AF40" i="1"/>
  <c r="AE40" i="1"/>
  <c r="AD40" i="1"/>
  <c r="AD36" i="1" s="1"/>
  <c r="AC40" i="1"/>
  <c r="AB40" i="1"/>
  <c r="AA40" i="1"/>
  <c r="Y40" i="1"/>
  <c r="X40" i="1"/>
  <c r="W40" i="1"/>
  <c r="V40" i="1"/>
  <c r="U40" i="1"/>
  <c r="S40" i="1"/>
  <c r="R40" i="1"/>
  <c r="Q40" i="1"/>
  <c r="P40" i="1"/>
  <c r="O40" i="1"/>
  <c r="O38" i="1" s="1"/>
  <c r="N40" i="1"/>
  <c r="M40" i="1"/>
  <c r="L40" i="1"/>
  <c r="K40" i="1"/>
  <c r="G40" i="1" s="1"/>
  <c r="J40" i="1"/>
  <c r="AG39" i="1"/>
  <c r="AG35" i="1" s="1"/>
  <c r="AE39" i="1"/>
  <c r="AC39" i="1"/>
  <c r="AC35" i="1" s="1"/>
  <c r="AC10" i="1" s="1"/>
  <c r="AB39" i="1"/>
  <c r="AB35" i="1" s="1"/>
  <c r="AB10" i="1" s="1"/>
  <c r="AA39" i="1"/>
  <c r="Y39" i="1"/>
  <c r="X39" i="1"/>
  <c r="X35" i="1" s="1"/>
  <c r="X10" i="1" s="1"/>
  <c r="W39" i="1"/>
  <c r="U39" i="1"/>
  <c r="T39" i="1"/>
  <c r="S39" i="1"/>
  <c r="Q39" i="1"/>
  <c r="Q35" i="1" s="1"/>
  <c r="Q10" i="1" s="1"/>
  <c r="P39" i="1"/>
  <c r="O39" i="1"/>
  <c r="M39" i="1"/>
  <c r="L39" i="1"/>
  <c r="K39" i="1"/>
  <c r="AE38" i="1"/>
  <c r="AD38" i="1"/>
  <c r="AA38" i="1"/>
  <c r="W38" i="1"/>
  <c r="V38" i="1"/>
  <c r="S38" i="1"/>
  <c r="R38" i="1"/>
  <c r="N38" i="1"/>
  <c r="K38" i="1"/>
  <c r="J38" i="1"/>
  <c r="AG37" i="1"/>
  <c r="AG12" i="1" s="1"/>
  <c r="AE37" i="1"/>
  <c r="AD37" i="1"/>
  <c r="AC37" i="1"/>
  <c r="AC33" i="1" s="1"/>
  <c r="AA37" i="1"/>
  <c r="Z37" i="1"/>
  <c r="Y37" i="1"/>
  <c r="Y33" i="1" s="1"/>
  <c r="W37" i="1"/>
  <c r="V37" i="1"/>
  <c r="U37" i="1"/>
  <c r="U33" i="1" s="1"/>
  <c r="S37" i="1"/>
  <c r="R37" i="1"/>
  <c r="Q37" i="1"/>
  <c r="Q12" i="1" s="1"/>
  <c r="O37" i="1"/>
  <c r="N37" i="1"/>
  <c r="M37" i="1"/>
  <c r="G37" i="1" s="1"/>
  <c r="F37" i="1" s="1"/>
  <c r="K37" i="1"/>
  <c r="J37" i="1"/>
  <c r="AE36" i="1"/>
  <c r="AE33" i="1" s="1"/>
  <c r="AB36" i="1"/>
  <c r="AA36" i="1"/>
  <c r="AA33" i="1" s="1"/>
  <c r="X36" i="1"/>
  <c r="W36" i="1"/>
  <c r="W33" i="1" s="1"/>
  <c r="V36" i="1"/>
  <c r="S36" i="1"/>
  <c r="S33" i="1" s="1"/>
  <c r="P36" i="1"/>
  <c r="N36" i="1"/>
  <c r="N33" i="1" s="1"/>
  <c r="L36" i="1"/>
  <c r="J36" i="1"/>
  <c r="AE35" i="1"/>
  <c r="AA35" i="1"/>
  <c r="Y35" i="1"/>
  <c r="Y10" i="1" s="1"/>
  <c r="W35" i="1"/>
  <c r="U35" i="1"/>
  <c r="U10" i="1" s="1"/>
  <c r="T35" i="1"/>
  <c r="T10" i="1" s="1"/>
  <c r="S35" i="1"/>
  <c r="P35" i="1"/>
  <c r="O35" i="1"/>
  <c r="K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G34" i="1" s="1"/>
  <c r="J34" i="1"/>
  <c r="E34" i="1" s="1"/>
  <c r="D34" i="1"/>
  <c r="G32" i="1"/>
  <c r="I32" i="1" s="1"/>
  <c r="F32" i="1"/>
  <c r="F30" i="1" s="1"/>
  <c r="E32" i="1"/>
  <c r="D32" i="1"/>
  <c r="AF31" i="1"/>
  <c r="D31" i="1" s="1"/>
  <c r="D30" i="1" s="1"/>
  <c r="I31" i="1"/>
  <c r="G31" i="1"/>
  <c r="F31" i="1"/>
  <c r="E31" i="1"/>
  <c r="E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30" i="1"/>
  <c r="X29" i="1"/>
  <c r="R29" i="1"/>
  <c r="G29" i="1"/>
  <c r="I28" i="1"/>
  <c r="G28" i="1"/>
  <c r="H28" i="1" s="1"/>
  <c r="F28" i="1"/>
  <c r="E28" i="1"/>
  <c r="D28" i="1"/>
  <c r="AG27" i="1"/>
  <c r="AF27" i="1"/>
  <c r="AE27" i="1"/>
  <c r="AD27" i="1"/>
  <c r="AC27" i="1"/>
  <c r="AB27" i="1"/>
  <c r="AA27" i="1"/>
  <c r="Z27" i="1"/>
  <c r="Y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Z26" i="1"/>
  <c r="T26" i="1"/>
  <c r="G26" i="1"/>
  <c r="AF25" i="1"/>
  <c r="D25" i="1" s="1"/>
  <c r="H25" i="1" s="1"/>
  <c r="X25" i="1"/>
  <c r="P25" i="1"/>
  <c r="G25" i="1"/>
  <c r="F25" i="1"/>
  <c r="AF24" i="1"/>
  <c r="T24" i="1"/>
  <c r="R24" i="1"/>
  <c r="D24" i="1" s="1"/>
  <c r="I24" i="1"/>
  <c r="G24" i="1"/>
  <c r="H24" i="1" s="1"/>
  <c r="F24" i="1"/>
  <c r="E24" i="1"/>
  <c r="AG23" i="1"/>
  <c r="AE23" i="1"/>
  <c r="AD23" i="1"/>
  <c r="AC23" i="1"/>
  <c r="AB23" i="1"/>
  <c r="AA23" i="1"/>
  <c r="Y23" i="1"/>
  <c r="X23" i="1"/>
  <c r="W23" i="1"/>
  <c r="V23" i="1"/>
  <c r="U23" i="1"/>
  <c r="T23" i="1"/>
  <c r="S23" i="1"/>
  <c r="Q23" i="1"/>
  <c r="P23" i="1"/>
  <c r="O23" i="1"/>
  <c r="N23" i="1"/>
  <c r="M23" i="1"/>
  <c r="L23" i="1"/>
  <c r="K23" i="1"/>
  <c r="J23" i="1"/>
  <c r="G23" i="1"/>
  <c r="AG22" i="1"/>
  <c r="AG19" i="1" s="1"/>
  <c r="AF22" i="1"/>
  <c r="AE22" i="1"/>
  <c r="AD22" i="1"/>
  <c r="AD19" i="1" s="1"/>
  <c r="AC22" i="1"/>
  <c r="AB22" i="1"/>
  <c r="AA22" i="1"/>
  <c r="Y22" i="1"/>
  <c r="X22" i="1"/>
  <c r="W22" i="1"/>
  <c r="V22" i="1"/>
  <c r="V19" i="1" s="1"/>
  <c r="U22" i="1"/>
  <c r="T22" i="1"/>
  <c r="S22" i="1"/>
  <c r="R22" i="1"/>
  <c r="R19" i="1" s="1"/>
  <c r="Q22" i="1"/>
  <c r="P22" i="1"/>
  <c r="O22" i="1"/>
  <c r="N22" i="1"/>
  <c r="N19" i="1" s="1"/>
  <c r="M22" i="1"/>
  <c r="L22" i="1"/>
  <c r="K22" i="1"/>
  <c r="J22" i="1"/>
  <c r="AG21" i="1"/>
  <c r="AE21" i="1"/>
  <c r="AE19" i="1" s="1"/>
  <c r="AD21" i="1"/>
  <c r="AC21" i="1"/>
  <c r="AB21" i="1"/>
  <c r="AA21" i="1"/>
  <c r="AA10" i="1" s="1"/>
  <c r="Z21" i="1"/>
  <c r="Y21" i="1"/>
  <c r="X21" i="1"/>
  <c r="W21" i="1"/>
  <c r="V21" i="1"/>
  <c r="U21" i="1"/>
  <c r="T21" i="1"/>
  <c r="S21" i="1"/>
  <c r="R21" i="1"/>
  <c r="Q21" i="1"/>
  <c r="P21" i="1"/>
  <c r="O21" i="1"/>
  <c r="O10" i="1" s="1"/>
  <c r="N21" i="1"/>
  <c r="M21" i="1"/>
  <c r="L21" i="1"/>
  <c r="K21" i="1"/>
  <c r="J21" i="1"/>
  <c r="G21" i="1"/>
  <c r="AG20" i="1"/>
  <c r="AE20" i="1"/>
  <c r="AD20" i="1"/>
  <c r="AC20" i="1"/>
  <c r="AC9" i="1" s="1"/>
  <c r="AB20" i="1"/>
  <c r="AA20" i="1"/>
  <c r="Z20" i="1"/>
  <c r="Y20" i="1"/>
  <c r="Y9" i="1" s="1"/>
  <c r="W20" i="1"/>
  <c r="V20" i="1"/>
  <c r="U20" i="1"/>
  <c r="U9" i="1" s="1"/>
  <c r="T20" i="1"/>
  <c r="S20" i="1"/>
  <c r="R20" i="1"/>
  <c r="Q20" i="1"/>
  <c r="Q9" i="1" s="1"/>
  <c r="P20" i="1"/>
  <c r="O20" i="1"/>
  <c r="N20" i="1"/>
  <c r="M20" i="1"/>
  <c r="M9" i="1" s="1"/>
  <c r="L20" i="1"/>
  <c r="K20" i="1"/>
  <c r="J20" i="1"/>
  <c r="AB19" i="1"/>
  <c r="AA19" i="1"/>
  <c r="W19" i="1"/>
  <c r="T19" i="1"/>
  <c r="S19" i="1"/>
  <c r="P19" i="1"/>
  <c r="O19" i="1"/>
  <c r="L19" i="1"/>
  <c r="K19" i="1"/>
  <c r="I18" i="1"/>
  <c r="G18" i="1"/>
  <c r="H18" i="1" s="1"/>
  <c r="F18" i="1"/>
  <c r="E18" i="1"/>
  <c r="D18" i="1"/>
  <c r="G17" i="1"/>
  <c r="E17" i="1"/>
  <c r="D17" i="1"/>
  <c r="I16" i="1"/>
  <c r="G16" i="1"/>
  <c r="H16" i="1" s="1"/>
  <c r="F16" i="1"/>
  <c r="E16" i="1"/>
  <c r="E14" i="1" s="1"/>
  <c r="D16" i="1"/>
  <c r="G15" i="1"/>
  <c r="E15" i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AE12" i="1"/>
  <c r="AD12" i="1"/>
  <c r="AA12" i="1"/>
  <c r="Z12" i="1"/>
  <c r="W12" i="1"/>
  <c r="V12" i="1"/>
  <c r="S12" i="1"/>
  <c r="R12" i="1"/>
  <c r="O12" i="1"/>
  <c r="N12" i="1"/>
  <c r="K12" i="1"/>
  <c r="J12" i="1"/>
  <c r="AC11" i="1"/>
  <c r="X11" i="1"/>
  <c r="W11" i="1"/>
  <c r="V11" i="1"/>
  <c r="L11" i="1"/>
  <c r="J11" i="1"/>
  <c r="AE10" i="1"/>
  <c r="W10" i="1"/>
  <c r="S10" i="1"/>
  <c r="P10" i="1"/>
  <c r="K10" i="1"/>
  <c r="AG9" i="1"/>
  <c r="AE9" i="1"/>
  <c r="AD9" i="1"/>
  <c r="AB9" i="1"/>
  <c r="AA9" i="1"/>
  <c r="Z9" i="1"/>
  <c r="W9" i="1"/>
  <c r="V9" i="1"/>
  <c r="T9" i="1"/>
  <c r="S9" i="1"/>
  <c r="R9" i="1"/>
  <c r="P9" i="1"/>
  <c r="O9" i="1"/>
  <c r="N9" i="1"/>
  <c r="L9" i="1"/>
  <c r="K9" i="1"/>
  <c r="J9" i="1"/>
  <c r="W8" i="1"/>
  <c r="G9" i="1" l="1"/>
  <c r="AA8" i="1"/>
  <c r="F21" i="1"/>
  <c r="AC19" i="1"/>
  <c r="H30" i="1"/>
  <c r="I30" i="1"/>
  <c r="AD11" i="1"/>
  <c r="AD33" i="1"/>
  <c r="F42" i="1"/>
  <c r="Q19" i="1"/>
  <c r="F29" i="1"/>
  <c r="F27" i="1" s="1"/>
  <c r="I29" i="1"/>
  <c r="AG10" i="1"/>
  <c r="AG33" i="1"/>
  <c r="Q11" i="1"/>
  <c r="Q8" i="1" s="1"/>
  <c r="AF23" i="1"/>
  <c r="E25" i="1"/>
  <c r="I25" i="1" s="1"/>
  <c r="AF21" i="1"/>
  <c r="H27" i="1"/>
  <c r="G20" i="1"/>
  <c r="G22" i="1"/>
  <c r="M19" i="1"/>
  <c r="U19" i="1"/>
  <c r="Y19" i="1"/>
  <c r="H23" i="1"/>
  <c r="F26" i="1"/>
  <c r="F23" i="1" s="1"/>
  <c r="I26" i="1"/>
  <c r="I34" i="1"/>
  <c r="H34" i="1"/>
  <c r="F34" i="1"/>
  <c r="AD8" i="1"/>
  <c r="N8" i="1"/>
  <c r="U11" i="1"/>
  <c r="Y11" i="1"/>
  <c r="F15" i="1"/>
  <c r="H15" i="1"/>
  <c r="H14" i="1" s="1"/>
  <c r="I15" i="1"/>
  <c r="G14" i="1"/>
  <c r="I14" i="1" s="1"/>
  <c r="F17" i="1"/>
  <c r="I17" i="1"/>
  <c r="H17" i="1"/>
  <c r="E21" i="1"/>
  <c r="I21" i="1" s="1"/>
  <c r="Z23" i="1"/>
  <c r="D26" i="1"/>
  <c r="D23" i="1" s="1"/>
  <c r="E26" i="1"/>
  <c r="E23" i="1" s="1"/>
  <c r="I23" i="1" s="1"/>
  <c r="Z22" i="1"/>
  <c r="X20" i="1"/>
  <c r="X27" i="1"/>
  <c r="E29" i="1"/>
  <c r="E27" i="1" s="1"/>
  <c r="I27" i="1" s="1"/>
  <c r="D29" i="1"/>
  <c r="D27" i="1" s="1"/>
  <c r="H31" i="1"/>
  <c r="F40" i="1"/>
  <c r="E42" i="1"/>
  <c r="AB50" i="1"/>
  <c r="E51" i="1"/>
  <c r="E50" i="1" s="1"/>
  <c r="F61" i="1"/>
  <c r="I61" i="1"/>
  <c r="M36" i="1"/>
  <c r="M11" i="1" s="1"/>
  <c r="G62" i="1"/>
  <c r="H66" i="1"/>
  <c r="H85" i="1"/>
  <c r="G83" i="1"/>
  <c r="F85" i="1"/>
  <c r="N11" i="1"/>
  <c r="Q33" i="1"/>
  <c r="O36" i="1"/>
  <c r="G41" i="1"/>
  <c r="M38" i="1"/>
  <c r="F51" i="1"/>
  <c r="F50" i="1" s="1"/>
  <c r="I51" i="1"/>
  <c r="F63" i="1"/>
  <c r="I63" i="1"/>
  <c r="AF60" i="1"/>
  <c r="AF36" i="1"/>
  <c r="AF11" i="1" s="1"/>
  <c r="S11" i="1"/>
  <c r="S8" i="1" s="1"/>
  <c r="AA11" i="1"/>
  <c r="AE11" i="1"/>
  <c r="AE8" i="1" s="1"/>
  <c r="M12" i="1"/>
  <c r="U12" i="1"/>
  <c r="G12" i="1" s="1"/>
  <c r="Y12" i="1"/>
  <c r="Y8" i="1" s="1"/>
  <c r="AC12" i="1"/>
  <c r="AC8" i="1" s="1"/>
  <c r="H32" i="1"/>
  <c r="J33" i="1"/>
  <c r="L35" i="1"/>
  <c r="L10" i="1" s="1"/>
  <c r="K36" i="1"/>
  <c r="Z40" i="1"/>
  <c r="D41" i="1"/>
  <c r="F44" i="1"/>
  <c r="I44" i="1"/>
  <c r="H45" i="1"/>
  <c r="H42" i="1" s="1"/>
  <c r="H51" i="1"/>
  <c r="D50" i="1"/>
  <c r="I55" i="1"/>
  <c r="F59" i="1"/>
  <c r="I59" i="1"/>
  <c r="G58" i="1"/>
  <c r="M60" i="1"/>
  <c r="Q60" i="1"/>
  <c r="U60" i="1"/>
  <c r="Y60" i="1"/>
  <c r="AC60" i="1"/>
  <c r="E62" i="1"/>
  <c r="E60" i="1" s="1"/>
  <c r="D64" i="1"/>
  <c r="D63" i="1" s="1"/>
  <c r="H63" i="1" s="1"/>
  <c r="N63" i="1"/>
  <c r="H65" i="1"/>
  <c r="E66" i="1"/>
  <c r="D66" i="1"/>
  <c r="D65" i="1" s="1"/>
  <c r="E68" i="1"/>
  <c r="D68" i="1"/>
  <c r="H68" i="1" s="1"/>
  <c r="F89" i="1"/>
  <c r="F88" i="1" s="1"/>
  <c r="I89" i="1"/>
  <c r="G88" i="1"/>
  <c r="I92" i="1"/>
  <c r="H92" i="1"/>
  <c r="G96" i="1"/>
  <c r="M95" i="1"/>
  <c r="E99" i="1"/>
  <c r="I100" i="1"/>
  <c r="G103" i="1"/>
  <c r="M102" i="1"/>
  <c r="D45" i="1"/>
  <c r="D42" i="1" s="1"/>
  <c r="T42" i="1"/>
  <c r="E47" i="1"/>
  <c r="E46" i="1" s="1"/>
  <c r="V39" i="1"/>
  <c r="V35" i="1" s="1"/>
  <c r="H49" i="1"/>
  <c r="E54" i="1"/>
  <c r="E53" i="1" s="1"/>
  <c r="D54" i="1"/>
  <c r="D53" i="1" s="1"/>
  <c r="H64" i="1"/>
  <c r="D35" i="1"/>
  <c r="G39" i="1"/>
  <c r="F47" i="1"/>
  <c r="I47" i="1"/>
  <c r="G46" i="1"/>
  <c r="I49" i="1"/>
  <c r="I52" i="1"/>
  <c r="H52" i="1"/>
  <c r="G50" i="1"/>
  <c r="H61" i="1"/>
  <c r="F70" i="1"/>
  <c r="I70" i="1"/>
  <c r="G72" i="1"/>
  <c r="E78" i="1"/>
  <c r="D78" i="1"/>
  <c r="V76" i="1"/>
  <c r="V74" i="1"/>
  <c r="V72" i="1" s="1"/>
  <c r="I85" i="1"/>
  <c r="I83" i="1" s="1"/>
  <c r="D85" i="1"/>
  <c r="D83" i="1" s="1"/>
  <c r="P83" i="1"/>
  <c r="P82" i="1"/>
  <c r="AB83" i="1"/>
  <c r="AB82" i="1"/>
  <c r="J8" i="1"/>
  <c r="J19" i="1"/>
  <c r="AF20" i="1"/>
  <c r="AF9" i="1" s="1"/>
  <c r="R23" i="1"/>
  <c r="M35" i="1"/>
  <c r="R36" i="1"/>
  <c r="L37" i="1"/>
  <c r="P37" i="1"/>
  <c r="T37" i="1"/>
  <c r="X37" i="1"/>
  <c r="AB37" i="1"/>
  <c r="AF37" i="1"/>
  <c r="D39" i="1"/>
  <c r="AF39" i="1"/>
  <c r="AF35" i="1" s="1"/>
  <c r="E41" i="1"/>
  <c r="G42" i="1"/>
  <c r="Z42" i="1"/>
  <c r="H44" i="1"/>
  <c r="I45" i="1"/>
  <c r="I42" i="1" s="1"/>
  <c r="I48" i="1"/>
  <c r="H48" i="1"/>
  <c r="G53" i="1"/>
  <c r="H54" i="1"/>
  <c r="H55" i="1"/>
  <c r="F57" i="1"/>
  <c r="F55" i="1" s="1"/>
  <c r="I57" i="1"/>
  <c r="H59" i="1"/>
  <c r="J60" i="1"/>
  <c r="T67" i="1"/>
  <c r="D86" i="1"/>
  <c r="H87" i="1"/>
  <c r="G98" i="1"/>
  <c r="AC97" i="1"/>
  <c r="D74" i="1"/>
  <c r="D72" i="1" s="1"/>
  <c r="E82" i="1"/>
  <c r="E81" i="1" s="1"/>
  <c r="T88" i="1"/>
  <c r="T82" i="1"/>
  <c r="I99" i="1"/>
  <c r="H99" i="1"/>
  <c r="I104" i="1"/>
  <c r="H104" i="1"/>
  <c r="I68" i="1"/>
  <c r="E69" i="1"/>
  <c r="E67" i="1" s="1"/>
  <c r="D69" i="1"/>
  <c r="AE67" i="1"/>
  <c r="G69" i="1"/>
  <c r="L72" i="1"/>
  <c r="P72" i="1"/>
  <c r="T72" i="1"/>
  <c r="X72" i="1"/>
  <c r="AB72" i="1"/>
  <c r="AF72" i="1"/>
  <c r="F79" i="1"/>
  <c r="I79" i="1"/>
  <c r="H79" i="1"/>
  <c r="G76" i="1"/>
  <c r="F84" i="1"/>
  <c r="I84" i="1"/>
  <c r="H84" i="1"/>
  <c r="G91" i="1"/>
  <c r="AG90" i="1"/>
  <c r="AG82" i="1"/>
  <c r="AG81" i="1" s="1"/>
  <c r="D70" i="1"/>
  <c r="D67" i="1" s="1"/>
  <c r="I73" i="1"/>
  <c r="I75" i="1"/>
  <c r="I77" i="1"/>
  <c r="F80" i="1"/>
  <c r="F76" i="1" s="1"/>
  <c r="J81" i="1"/>
  <c r="G86" i="1"/>
  <c r="I87" i="1"/>
  <c r="N88" i="1"/>
  <c r="D89" i="1"/>
  <c r="D88" i="1" s="1"/>
  <c r="F93" i="1"/>
  <c r="F92" i="1" s="1"/>
  <c r="F100" i="1"/>
  <c r="F99" i="1" s="1"/>
  <c r="F105" i="1"/>
  <c r="F104" i="1" s="1"/>
  <c r="I110" i="1"/>
  <c r="H107" i="1"/>
  <c r="H109" i="1"/>
  <c r="H111" i="1"/>
  <c r="H113" i="1"/>
  <c r="G106" i="1"/>
  <c r="F12" i="1" l="1"/>
  <c r="E38" i="1"/>
  <c r="H70" i="1"/>
  <c r="H96" i="1"/>
  <c r="F96" i="1"/>
  <c r="F95" i="1" s="1"/>
  <c r="G95" i="1"/>
  <c r="I96" i="1"/>
  <c r="H88" i="1"/>
  <c r="I88" i="1"/>
  <c r="Z38" i="1"/>
  <c r="Z36" i="1"/>
  <c r="Z33" i="1" s="1"/>
  <c r="F41" i="1"/>
  <c r="F38" i="1" s="1"/>
  <c r="H41" i="1"/>
  <c r="G38" i="1"/>
  <c r="I41" i="1"/>
  <c r="F20" i="1"/>
  <c r="I86" i="1"/>
  <c r="H86" i="1"/>
  <c r="G35" i="1"/>
  <c r="M10" i="1"/>
  <c r="K33" i="1"/>
  <c r="K11" i="1"/>
  <c r="G36" i="1"/>
  <c r="O33" i="1"/>
  <c r="O11" i="1"/>
  <c r="O8" i="1" s="1"/>
  <c r="Z19" i="1"/>
  <c r="Z11" i="1"/>
  <c r="Z8" i="1" s="1"/>
  <c r="E22" i="1"/>
  <c r="F14" i="1"/>
  <c r="AG11" i="1"/>
  <c r="AG8" i="1" s="1"/>
  <c r="AF19" i="1"/>
  <c r="AF10" i="1"/>
  <c r="AF8" i="1" s="1"/>
  <c r="D21" i="1"/>
  <c r="H21" i="1" s="1"/>
  <c r="H29" i="1"/>
  <c r="F9" i="1"/>
  <c r="E39" i="1"/>
  <c r="U8" i="1"/>
  <c r="I106" i="1"/>
  <c r="H106" i="1"/>
  <c r="H98" i="1"/>
  <c r="F98" i="1"/>
  <c r="F97" i="1" s="1"/>
  <c r="I98" i="1"/>
  <c r="G97" i="1"/>
  <c r="F53" i="1"/>
  <c r="I53" i="1"/>
  <c r="H53" i="1"/>
  <c r="T12" i="1"/>
  <c r="T33" i="1"/>
  <c r="R33" i="1"/>
  <c r="R11" i="1"/>
  <c r="R8" i="1" s="1"/>
  <c r="I78" i="1"/>
  <c r="E76" i="1"/>
  <c r="H50" i="1"/>
  <c r="I50" i="1"/>
  <c r="H46" i="1"/>
  <c r="F46" i="1"/>
  <c r="I46" i="1"/>
  <c r="H103" i="1"/>
  <c r="F103" i="1"/>
  <c r="F102" i="1" s="1"/>
  <c r="G102" i="1"/>
  <c r="I103" i="1"/>
  <c r="H83" i="1"/>
  <c r="X9" i="1"/>
  <c r="X19" i="1"/>
  <c r="E20" i="1"/>
  <c r="I20" i="1" s="1"/>
  <c r="I69" i="1"/>
  <c r="H69" i="1"/>
  <c r="F69" i="1"/>
  <c r="G67" i="1"/>
  <c r="I54" i="1"/>
  <c r="D40" i="1"/>
  <c r="H40" i="1" s="1"/>
  <c r="AF33" i="1"/>
  <c r="AF12" i="1"/>
  <c r="P12" i="1"/>
  <c r="P8" i="1" s="1"/>
  <c r="P33" i="1"/>
  <c r="P81" i="1"/>
  <c r="P11" i="1"/>
  <c r="E11" i="1" s="1"/>
  <c r="H72" i="1"/>
  <c r="M33" i="1"/>
  <c r="D82" i="1"/>
  <c r="D81" i="1" s="1"/>
  <c r="T81" i="1"/>
  <c r="T11" i="1"/>
  <c r="E74" i="1"/>
  <c r="E40" i="1"/>
  <c r="I40" i="1" s="1"/>
  <c r="AB33" i="1"/>
  <c r="AB12" i="1"/>
  <c r="E37" i="1"/>
  <c r="D37" i="1"/>
  <c r="L12" i="1"/>
  <c r="L33" i="1"/>
  <c r="H74" i="1"/>
  <c r="F67" i="1"/>
  <c r="V10" i="1"/>
  <c r="D10" i="1" s="1"/>
  <c r="H58" i="1"/>
  <c r="I58" i="1"/>
  <c r="F58" i="1"/>
  <c r="L8" i="1"/>
  <c r="D36" i="1"/>
  <c r="F83" i="1"/>
  <c r="H62" i="1"/>
  <c r="G60" i="1"/>
  <c r="F62" i="1"/>
  <c r="F60" i="1" s="1"/>
  <c r="I62" i="1"/>
  <c r="D22" i="1"/>
  <c r="D19" i="1" s="1"/>
  <c r="F91" i="1"/>
  <c r="F90" i="1" s="1"/>
  <c r="I91" i="1"/>
  <c r="G90" i="1"/>
  <c r="H91" i="1"/>
  <c r="I76" i="1"/>
  <c r="G82" i="1"/>
  <c r="X12" i="1"/>
  <c r="X33" i="1"/>
  <c r="AB81" i="1"/>
  <c r="AB11" i="1"/>
  <c r="H78" i="1"/>
  <c r="D76" i="1"/>
  <c r="H76" i="1" s="1"/>
  <c r="F39" i="1"/>
  <c r="I39" i="1"/>
  <c r="H39" i="1"/>
  <c r="H89" i="1"/>
  <c r="I66" i="1"/>
  <c r="E65" i="1"/>
  <c r="I65" i="1" s="1"/>
  <c r="D38" i="1"/>
  <c r="E35" i="1"/>
  <c r="E36" i="1"/>
  <c r="V33" i="1"/>
  <c r="H26" i="1"/>
  <c r="F22" i="1"/>
  <c r="I22" i="1"/>
  <c r="G19" i="1"/>
  <c r="D20" i="1"/>
  <c r="H20" i="1" s="1"/>
  <c r="H60" i="1" l="1"/>
  <c r="I60" i="1"/>
  <c r="D12" i="1"/>
  <c r="H12" i="1" s="1"/>
  <c r="E12" i="1"/>
  <c r="I12" i="1" s="1"/>
  <c r="F35" i="1"/>
  <c r="H35" i="1"/>
  <c r="I35" i="1"/>
  <c r="D33" i="1"/>
  <c r="H37" i="1"/>
  <c r="G11" i="1"/>
  <c r="K8" i="1"/>
  <c r="F19" i="1"/>
  <c r="E33" i="1"/>
  <c r="I37" i="1"/>
  <c r="E72" i="1"/>
  <c r="I72" i="1" s="1"/>
  <c r="I74" i="1"/>
  <c r="I102" i="1"/>
  <c r="H102" i="1"/>
  <c r="E19" i="1"/>
  <c r="I19" i="1" s="1"/>
  <c r="H19" i="1"/>
  <c r="V8" i="1"/>
  <c r="E10" i="1"/>
  <c r="D11" i="1"/>
  <c r="I36" i="1"/>
  <c r="H36" i="1"/>
  <c r="F36" i="1"/>
  <c r="F33" i="1" s="1"/>
  <c r="G33" i="1"/>
  <c r="F82" i="1"/>
  <c r="F81" i="1" s="1"/>
  <c r="I82" i="1"/>
  <c r="G81" i="1"/>
  <c r="H82" i="1"/>
  <c r="I90" i="1"/>
  <c r="H90" i="1"/>
  <c r="I67" i="1"/>
  <c r="H67" i="1"/>
  <c r="H22" i="1"/>
  <c r="AB8" i="1"/>
  <c r="X8" i="1"/>
  <c r="E9" i="1"/>
  <c r="D9" i="1"/>
  <c r="T8" i="1"/>
  <c r="I97" i="1"/>
  <c r="H97" i="1"/>
  <c r="G10" i="1"/>
  <c r="M8" i="1"/>
  <c r="I38" i="1"/>
  <c r="H38" i="1"/>
  <c r="I95" i="1"/>
  <c r="H95" i="1"/>
  <c r="F10" i="1" l="1"/>
  <c r="I10" i="1"/>
  <c r="H10" i="1"/>
  <c r="G8" i="1"/>
  <c r="D8" i="1"/>
  <c r="H9" i="1"/>
  <c r="H81" i="1"/>
  <c r="I81" i="1"/>
  <c r="H11" i="1"/>
  <c r="F11" i="1"/>
  <c r="I11" i="1"/>
  <c r="E8" i="1"/>
  <c r="I9" i="1"/>
  <c r="I33" i="1"/>
  <c r="H33" i="1"/>
  <c r="H8" i="1" l="1"/>
  <c r="I8" i="1"/>
  <c r="F8" i="1"/>
</calcChain>
</file>

<file path=xl/sharedStrings.xml><?xml version="1.0" encoding="utf-8"?>
<sst xmlns="http://schemas.openxmlformats.org/spreadsheetml/2006/main" count="216" uniqueCount="92">
  <si>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</si>
  <si>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</si>
  <si>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</si>
  <si>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</si>
  <si>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</si>
  <si>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</si>
  <si>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</si>
  <si>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</si>
  <si>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</si>
  <si>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</si>
  <si>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</si>
  <si>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</si>
  <si>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</si>
  <si>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</si>
  <si>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</si>
  <si>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</si>
  <si>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</si>
  <si>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</si>
  <si>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</si>
  <si>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</si>
  <si>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</si>
  <si>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</si>
  <si>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</si>
  <si>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</si>
  <si>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</si>
  <si>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</si>
  <si>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</si>
  <si>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</si>
  <si>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</si>
  <si>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</si>
  <si>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</si>
  <si>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</si>
  <si>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</si>
  <si>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</si>
  <si>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</si>
  <si>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</si>
  <si>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внебюджетные источники финансирования</t>
  </si>
  <si>
    <t>1. На отчетную дату ведется исполнение муниципального контракта №0187200001721001483 от 14.10.2021 (эл/а) заключенного с Обществом с ограниченной ответственностью "СИБВИТОСЕРВИС" город Сургут на выполнение проектно-изыскательских и строительно-монтажных работ по объекту, из них:
1.1. Сроки выполнения работ:
- 1 этап ПИР – с даты заключения контракта по 31.08.2023 (на отчетную дату этап завершен); 
- 2 этап СМР – с 01.09.2023 по 10.12.2025, из них:
- охранно-спасательные археологические работы, строительно-монтажные работы, пусконаладочные работы и поставка и монтаж оборудования с 01.09.2022 по 01.12.2025;
- ввод объекта в эксплуатацию с 01.12.2025 по 10.12.2025.
1.2. Цена контракта 3 114 407,6 тыс. руб. из них:
- 1 этап ПИР – 34 981,9 тыс. руб. (на отчетную дату этап завершен);
- 2 этап СМР – 3 079 425,7 тыс. руб.
1.3. Проектно-изыскательские работы – готовность 100%, из них:
- положительное заключение государственной экспертизы результатов инженерных изысканий и проектной документации (без смет) от 23.12.2022 №86-1-1-3-091907-2022;
- положительное заключение государственной экспертизы о достоверности сметной стоимости строительства объекта от 22.11.2024 №86-1-1-2-069258-2024;
- выполнение проектно-изыскательских работ по 1 этапу контракта выполнено с нарушением сроков выполнения работ подрядной организацией, выставлено 12-ть претензий об уплате неустойки на общую сумму 11 731,48 тыс. руб.
1.4. Строительная готовность объекта 44%
1.5. Дата ввода объекта в эксплуатацию, согласно условий контракта - 10.12.2025.
2. Муниципальный контракт №Кг-38.22 от 12.04.2022 на технологическое присоединение к электрическим сетям на сумму 8,13 тыс. руб, срок оказания услуг 1 год. Исполнение контракта возможно после завершения строительства объекта.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</si>
  <si>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</si>
  <si>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</si>
  <si>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</si>
  <si>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Низкое исполнение связано с перечисление средств по фактической потребности учреждений.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</si>
  <si>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</si>
  <si>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</si>
  <si>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</si>
  <si>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</si>
  <si>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</si>
  <si>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</si>
  <si>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</si>
  <si>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</si>
  <si>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</si>
  <si>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</si>
  <si>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</si>
  <si>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1.1.7. Компенсация расходов, возникающих в связи с освобождением от взимания родительской платы за присмотр и уход за детьми в частных организациях, осуществляющих образовательную деятельность по реализации образовательных программ дошкольного образования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</si>
  <si>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</si>
  <si>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</si>
  <si>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1.2.4.Поддержка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</si>
  <si>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</si>
  <si>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 xml:space="preserve">Перечисление средств происходит по фактической потребности учреждени, согласно предоставленных счетов по организации питания. 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</si>
  <si>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</si>
  <si>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</si>
  <si>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</si>
  <si>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</si>
  <si>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>Низкое исполнение связано с перечисление средств по фактической потребности учреждений.  ОБ-питание детей в пришкольных лагерях, приобретение путевок, оплата услуги сопровождения детей и  оплата транспортных расходов сопровождающих; МБ питание детей в пришкольных лагерях (софинвнсирование), приобретение путевок (софинансирование).</t>
  </si>
  <si>
    <t>привлеченный средства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</si>
  <si>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</si>
  <si>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</si>
  <si>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</si>
  <si>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>привлеченные средства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</si>
  <si>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</si>
  <si>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</si>
  <si>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</si>
  <si>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Неисполнение связано перечислением средств согласно графика платежей, который формируется в системе ПФДО под фактические человеко-часы.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</si>
  <si>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</si>
  <si>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</si>
  <si>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</si>
  <si>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</si>
  <si>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</si>
  <si>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Перечисление средств происходит по фактической потребности учреждени, согласно предоставленных счетов и актов выполненых работ</t>
  </si>
  <si>
    <t>4.1.2. Капитальный ремонт МАДОУ "Цветик- семицветик", МАДОУ "Колокольчик" , МАОУ СОШ 7 в городе Когалыме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</si>
  <si>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01.07.2025.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</si>
  <si>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01.07.2025;
- ведется выполнение работ, подрядчик проект направляет на государтсвенную экспертизу.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01.07.2025;
- ведется выполнение работ, подрядчик проект направляет на государтсвенную экспертизу.Муниципальный контракт №0187300013724000024 от 26.03.2024 на выполнение работ по разработке проектно-сметной документации для выполнения капитального ремонта здания МАОУ СОШ №7 в городе Когалыме:
- цена контракта 2 345,11 тыс.рублей;
- срок выполнения работ - 15.11.2024;
- подрядчиком устраняются замечания по разработке проектно-сметной документации.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</si>
  <si>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</si>
  <si>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</si>
  <si>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</si>
  <si>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</si>
  <si>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 xml:space="preserve">Неисполнение по расходам на оплату труда и начисления на оплату труда (наличие листов нетрудоспособности) и коммандировочным расходам. Перечисление ком-ых расходов происходит по факту, на основании предоставленного авансового отчета сотрудника. </t>
  </si>
  <si>
    <t>5.1.2.     Проведение мероприятий аппаратом управления</t>
  </si>
  <si>
    <t>ПК1.1 "Реализация инициативного проекта "Баскетбол для всех-движение вверх!"</t>
  </si>
  <si>
    <t>Оплата прошла в полном бьеме, проект выполнен</t>
  </si>
  <si>
    <t>Проект Администрации города Когалыма «Ресурсное пространство для детей с особыми образовательными потребностями (РАСту в семье)»</t>
  </si>
  <si>
    <t>Проект Администрации города Когалыма «Взгляд из центра событий или Новый взгляд на жизнь города»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</si>
</sst>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[Red]\-#,##0.00\ "/>
    <numFmt numFmtId="165" formatCode="#,##0.0_ ;[Red]\-#,##0.0\ "/>
    <numFmt numFmtId="166" formatCode="#,##0_ ;[Red]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164" fontId="5" fillId="0" borderId="0" xfId="1" applyNumberFormat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1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left" vertical="center" wrapText="1"/>
    </xf>
    <xf numFmtId="164" fontId="5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4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43" fontId="14" fillId="0" borderId="9" xfId="2" applyFont="1" applyFill="1" applyBorder="1" applyAlignment="1">
      <alignment horizontal="justify" vertical="center" wrapText="1"/>
    </xf>
    <xf numFmtId="43" fontId="7" fillId="0" borderId="9" xfId="2" applyFont="1" applyFill="1" applyBorder="1" applyAlignment="1" applyProtection="1">
      <alignment vertical="center" wrapText="1"/>
    </xf>
    <xf numFmtId="43" fontId="7" fillId="0" borderId="9" xfId="2" applyFont="1" applyFill="1" applyBorder="1" applyAlignment="1">
      <alignment horizontal="justify" vertical="center" wrapText="1"/>
    </xf>
    <xf numFmtId="164" fontId="5" fillId="0" borderId="9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center" wrapText="1"/>
    </xf>
    <xf numFmtId="164" fontId="15" fillId="0" borderId="0" xfId="1" applyNumberFormat="1" applyFont="1" applyAlignment="1" applyProtection="1">
      <alignment vertical="center"/>
    </xf>
    <xf numFmtId="16" fontId="9" fillId="0" borderId="2" xfId="1" applyNumberFormat="1" applyFont="1" applyBorder="1" applyAlignment="1" applyProtection="1">
      <alignment horizontal="center" vertical="center"/>
    </xf>
    <xf numFmtId="164" fontId="9" fillId="0" borderId="9" xfId="1" applyNumberFormat="1" applyFont="1" applyBorder="1" applyAlignment="1" applyProtection="1">
      <alignment horizontal="center" vertical="center"/>
    </xf>
    <xf numFmtId="164" fontId="9" fillId="0" borderId="9" xfId="1" applyNumberFormat="1" applyFont="1" applyBorder="1" applyAlignment="1" applyProtection="1">
      <alignment horizontal="center" vertical="center"/>
      <protection locked="0"/>
    </xf>
    <xf numFmtId="16" fontId="9" fillId="0" borderId="5" xfId="1" applyNumberFormat="1" applyFont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164" fontId="15" fillId="0" borderId="0" xfId="1" applyNumberFormat="1" applyFont="1" applyFill="1" applyAlignment="1" applyProtection="1">
      <alignment vertical="center"/>
    </xf>
    <xf numFmtId="16" fontId="16" fillId="0" borderId="2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16" fontId="16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16" fillId="0" borderId="5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right" vertical="center" wrapText="1"/>
    </xf>
    <xf numFmtId="0" fontId="16" fillId="0" borderId="2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left" vertical="center" wrapText="1"/>
    </xf>
    <xf numFmtId="164" fontId="18" fillId="0" borderId="9" xfId="1" applyNumberFormat="1" applyFont="1" applyFill="1" applyBorder="1" applyAlignment="1" applyProtection="1">
      <alignment horizontal="center" vertical="center"/>
    </xf>
    <xf numFmtId="164" fontId="18" fillId="0" borderId="9" xfId="1" applyNumberFormat="1" applyFont="1" applyBorder="1" applyAlignment="1" applyProtection="1">
      <alignment horizontal="center" vertical="center"/>
    </xf>
    <xf numFmtId="164" fontId="18" fillId="0" borderId="9" xfId="1" applyNumberFormat="1" applyFont="1" applyBorder="1" applyAlignment="1" applyProtection="1">
      <alignment horizontal="center" vertical="center"/>
      <protection locked="0"/>
    </xf>
    <xf numFmtId="0" fontId="16" fillId="0" borderId="9" xfId="1" applyFont="1" applyBorder="1" applyAlignment="1" applyProtection="1">
      <alignment vertical="center" wrapText="1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16" fontId="5" fillId="0" borderId="5" xfId="1" applyNumberFormat="1" applyFont="1" applyBorder="1" applyAlignment="1" applyProtection="1">
      <alignment horizontal="center" vertical="center"/>
    </xf>
    <xf numFmtId="0" fontId="20" fillId="0" borderId="5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20" fillId="0" borderId="9" xfId="1" applyFont="1" applyBorder="1" applyAlignment="1" applyProtection="1">
      <alignment horizontal="right" vertical="center" wrapText="1"/>
    </xf>
    <xf numFmtId="16" fontId="18" fillId="0" borderId="2" xfId="1" applyNumberFormat="1" applyFont="1" applyBorder="1" applyAlignment="1" applyProtection="1">
      <alignment horizontal="center" vertical="center"/>
    </xf>
    <xf numFmtId="16" fontId="18" fillId="0" borderId="5" xfId="1" applyNumberFormat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vertical="center" wrapText="1"/>
    </xf>
    <xf numFmtId="164" fontId="21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/>
    </xf>
    <xf numFmtId="0" fontId="20" fillId="0" borderId="9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0" fontId="9" fillId="0" borderId="5" xfId="1" applyFont="1" applyBorder="1" applyAlignment="1" applyProtection="1">
      <alignment horizontal="center" vertical="center"/>
    </xf>
    <xf numFmtId="0" fontId="20" fillId="0" borderId="9" xfId="1" applyFont="1" applyFill="1" applyBorder="1" applyAlignment="1" applyProtection="1">
      <alignment horizontal="right" vertical="center" wrapText="1"/>
    </xf>
    <xf numFmtId="0" fontId="19" fillId="0" borderId="2" xfId="1" applyFont="1" applyFill="1" applyBorder="1" applyAlignment="1" applyProtection="1">
      <alignment horizontal="right" vertical="center" wrapText="1"/>
    </xf>
    <xf numFmtId="0" fontId="19" fillId="0" borderId="5" xfId="1" applyFont="1" applyFill="1" applyBorder="1" applyAlignment="1" applyProtection="1">
      <alignment horizontal="right" vertical="center" wrapText="1"/>
    </xf>
    <xf numFmtId="0" fontId="19" fillId="0" borderId="8" xfId="1" applyFont="1" applyFill="1" applyBorder="1" applyAlignment="1" applyProtection="1">
      <alignment horizontal="right" vertical="center" wrapText="1"/>
    </xf>
    <xf numFmtId="0" fontId="16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164" fontId="22" fillId="0" borderId="0" xfId="1" applyNumberFormat="1" applyFont="1" applyFill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0" fontId="22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right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4" fontId="9" fillId="0" borderId="2" xfId="1" applyNumberFormat="1" applyFont="1" applyFill="1" applyBorder="1" applyAlignment="1" applyProtection="1">
      <alignment horizontal="center" vertical="center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horizontal="right" vertical="center" wrapText="1"/>
    </xf>
    <xf numFmtId="4" fontId="24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Protection="1"/>
    <xf numFmtId="4" fontId="25" fillId="0" borderId="9" xfId="1" applyNumberFormat="1" applyFont="1" applyBorder="1" applyAlignment="1" applyProtection="1">
      <alignment horizontal="center" vertical="center"/>
    </xf>
    <xf numFmtId="4" fontId="25" fillId="0" borderId="9" xfId="1" applyNumberFormat="1" applyFont="1" applyBorder="1" applyProtection="1"/>
    <xf numFmtId="0" fontId="2" fillId="0" borderId="0" xfId="1" applyFont="1" applyProtection="1"/>
    <xf numFmtId="0" fontId="5" fillId="0" borderId="9" xfId="1" applyFont="1" applyFill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right" vertical="center" wrapText="1"/>
    </xf>
    <xf numFmtId="4" fontId="26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3">
    <cellStyle name="Обычный" xfId="0" builtinId="0"/>
    <cellStyle name="Обычный 3" xfId="1"/>
    <cellStyle name="Финансовый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"/>
  <sheetViews>
    <sheetView tabSelected="1" workbookViewId="0">
      <selection sqref="A1:XFD1048576"/>
    </sheetView>
  </sheetViews>
  <sheetFormatPr defaultColWidth="9.140625" defaultRowHeight="15" x14ac:dyDescent="0.25"/>
  <cols>
    <col min="1" max="1" width="6.5703125" style="149" customWidth="1"/>
    <col min="2" max="2" width="41.7109375" style="149" customWidth="1"/>
    <col min="3" max="3" width="20.85546875" style="153" customWidth="1"/>
    <col min="4" max="4" width="18" style="154" customWidth="1"/>
    <col min="5" max="5" width="14.7109375" style="149" customWidth="1"/>
    <col min="6" max="6" width="15" style="149" customWidth="1"/>
    <col min="7" max="7" width="16.140625" style="149" customWidth="1"/>
    <col min="8" max="8" width="12.140625" style="149" customWidth="1"/>
    <col min="9" max="9" width="10.85546875" style="149" customWidth="1"/>
    <col min="10" max="10" width="14.28515625" style="149" customWidth="1"/>
    <col min="11" max="11" width="13.5703125" style="149" customWidth="1"/>
    <col min="12" max="12" width="15.140625" style="149" customWidth="1"/>
    <col min="13" max="13" width="13" style="149" customWidth="1"/>
    <col min="14" max="14" width="15.28515625" style="149" customWidth="1"/>
    <col min="15" max="15" width="13.7109375" style="149" customWidth="1"/>
    <col min="16" max="16" width="15" style="149" customWidth="1"/>
    <col min="17" max="17" width="13.85546875" style="149" customWidth="1"/>
    <col min="18" max="18" width="14.42578125" style="149" customWidth="1"/>
    <col min="19" max="19" width="14.140625" style="149" customWidth="1"/>
    <col min="20" max="20" width="13" style="149" customWidth="1"/>
    <col min="21" max="22" width="14.28515625" style="149" customWidth="1"/>
    <col min="23" max="23" width="11.5703125" style="149" customWidth="1"/>
    <col min="24" max="24" width="15" style="149" customWidth="1"/>
    <col min="25" max="25" width="11.5703125" style="149" customWidth="1"/>
    <col min="26" max="26" width="16.140625" style="149" customWidth="1"/>
    <col min="27" max="27" width="11.5703125" style="149" customWidth="1"/>
    <col min="28" max="28" width="14.85546875" style="149" customWidth="1"/>
    <col min="29" max="29" width="11.5703125" style="149" customWidth="1"/>
    <col min="30" max="30" width="13.42578125" style="149" customWidth="1"/>
    <col min="31" max="31" width="11.5703125" style="149" customWidth="1"/>
    <col min="32" max="32" width="15" style="149" customWidth="1"/>
    <col min="33" max="33" width="11.5703125" style="149" customWidth="1"/>
    <col min="34" max="34" width="46.140625" style="149" customWidth="1"/>
    <col min="35" max="16384" width="9.140625" style="149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25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25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25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25">
      <c r="A6" s="31"/>
      <c r="B6" s="32"/>
      <c r="C6" s="33"/>
      <c r="D6" s="34">
        <v>2025</v>
      </c>
      <c r="E6" s="35">
        <v>46023</v>
      </c>
      <c r="F6" s="35">
        <v>46023</v>
      </c>
      <c r="G6" s="35">
        <v>46023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75" x14ac:dyDescent="0.25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25">
      <c r="A8" s="41"/>
      <c r="B8" s="42" t="s">
        <v>27</v>
      </c>
      <c r="C8" s="43" t="s">
        <v>28</v>
      </c>
      <c r="D8" s="44">
        <f>D9+D10+D12+D11</f>
        <v>5236088.5686100004</v>
      </c>
      <c r="E8" s="44">
        <f>E9+E10+E12+E11</f>
        <v>5236088.5686100004</v>
      </c>
      <c r="F8" s="44">
        <f t="shared" ref="F8:G8" si="0">F9+F10+F12+F11</f>
        <v>4769463.5120209996</v>
      </c>
      <c r="G8" s="44">
        <f t="shared" si="0"/>
        <v>4769463.5120209996</v>
      </c>
      <c r="H8" s="44">
        <f>IFERROR(G8/D8*100,0)</f>
        <v>91.08828946503337</v>
      </c>
      <c r="I8" s="44">
        <f>IFERROR(G8/E8*100,0)</f>
        <v>91.08828946503337</v>
      </c>
      <c r="J8" s="45">
        <f>J9+J10+J12+J11</f>
        <v>337368.783</v>
      </c>
      <c r="K8" s="45">
        <f t="shared" ref="K8:AG8" si="1">K9+K10+K12+K11</f>
        <v>135134.304</v>
      </c>
      <c r="L8" s="45">
        <f t="shared" si="1"/>
        <v>463463.68300000002</v>
      </c>
      <c r="M8" s="45">
        <f t="shared" si="1"/>
        <v>174827.71</v>
      </c>
      <c r="N8" s="45">
        <f t="shared" si="1"/>
        <v>394924.72300000011</v>
      </c>
      <c r="O8" s="45">
        <f t="shared" si="1"/>
        <v>492920.78047000006</v>
      </c>
      <c r="P8" s="45">
        <f t="shared" si="1"/>
        <v>373271.97700000001</v>
      </c>
      <c r="Q8" s="45">
        <f t="shared" si="1"/>
        <v>466284.63</v>
      </c>
      <c r="R8" s="45">
        <f t="shared" si="1"/>
        <v>291919.66000000003</v>
      </c>
      <c r="S8" s="45">
        <f t="shared" si="1"/>
        <v>339335.50999999995</v>
      </c>
      <c r="T8" s="45">
        <f t="shared" si="1"/>
        <v>393306.11014</v>
      </c>
      <c r="U8" s="45">
        <f t="shared" si="1"/>
        <v>564997.75314100005</v>
      </c>
      <c r="V8" s="45">
        <f t="shared" si="1"/>
        <v>565708.74826999998</v>
      </c>
      <c r="W8" s="45">
        <f t="shared" si="1"/>
        <v>563480.53</v>
      </c>
      <c r="X8" s="45">
        <f t="shared" si="1"/>
        <v>371651.67390999995</v>
      </c>
      <c r="Y8" s="45">
        <f t="shared" si="1"/>
        <v>270990.80000000005</v>
      </c>
      <c r="Z8" s="45">
        <f t="shared" si="1"/>
        <v>574114.74800000002</v>
      </c>
      <c r="AA8" s="45">
        <f t="shared" si="1"/>
        <v>355319.48740999994</v>
      </c>
      <c r="AB8" s="45">
        <f t="shared" si="1"/>
        <v>506690.41922000004</v>
      </c>
      <c r="AC8" s="45">
        <f t="shared" si="1"/>
        <v>327459.58</v>
      </c>
      <c r="AD8" s="45">
        <f t="shared" si="1"/>
        <v>397908.23707000003</v>
      </c>
      <c r="AE8" s="45">
        <f t="shared" si="1"/>
        <v>598288.81699999992</v>
      </c>
      <c r="AF8" s="45">
        <f t="shared" si="1"/>
        <v>565759.80599999998</v>
      </c>
      <c r="AG8" s="45">
        <f t="shared" si="1"/>
        <v>480423.61</v>
      </c>
      <c r="AH8" s="46"/>
    </row>
    <row r="9" spans="1:35" s="53" customFormat="1" ht="26.25" customHeight="1" x14ac:dyDescent="0.25">
      <c r="A9" s="48"/>
      <c r="B9" s="49"/>
      <c r="C9" s="50" t="s">
        <v>29</v>
      </c>
      <c r="D9" s="51">
        <f>J9+L9+N9+P9+R9+T9+V9+X9+Z9+AB9+AD9+AF9</f>
        <v>131682.69200000001</v>
      </c>
      <c r="E9" s="51">
        <f>J9+L9+N9+P9+R9+T9+V9+X9+Z9+AB9+AD9+AF9</f>
        <v>131682.69200000001</v>
      </c>
      <c r="F9" s="51">
        <f>G9</f>
        <v>130749.50500000002</v>
      </c>
      <c r="G9" s="51">
        <f>K9+M9+O9+Q9+S9+U9+W9+Y9+AA9+AC9+AE9+AG9</f>
        <v>130749.50500000002</v>
      </c>
      <c r="H9" s="51">
        <f t="shared" ref="H9" si="2">IFERROR(G9/D9*100,0)</f>
        <v>99.291336632152095</v>
      </c>
      <c r="I9" s="51">
        <f t="shared" ref="I9" si="3">IFERROR(G9/E9*100,0)</f>
        <v>99.291336632152095</v>
      </c>
      <c r="J9" s="51">
        <f>J15+J20+J34</f>
        <v>9112.9679999999989</v>
      </c>
      <c r="K9" s="51">
        <f t="shared" ref="K9:AG9" si="4">K15+K20+K34</f>
        <v>0</v>
      </c>
      <c r="L9" s="51">
        <f t="shared" si="4"/>
        <v>12025.319999999998</v>
      </c>
      <c r="M9" s="51">
        <f t="shared" si="4"/>
        <v>2950.25</v>
      </c>
      <c r="N9" s="51">
        <f>N15+N20+N34</f>
        <v>11695.157999999999</v>
      </c>
      <c r="O9" s="51">
        <f t="shared" si="4"/>
        <v>22355.949999999997</v>
      </c>
      <c r="P9" s="51">
        <f t="shared" si="4"/>
        <v>10619.185000000001</v>
      </c>
      <c r="Q9" s="51">
        <f t="shared" si="4"/>
        <v>9985.4900000000016</v>
      </c>
      <c r="R9" s="51">
        <f t="shared" si="4"/>
        <v>36599.606</v>
      </c>
      <c r="S9" s="51">
        <f t="shared" si="4"/>
        <v>40719.909999999996</v>
      </c>
      <c r="T9" s="51">
        <f t="shared" si="4"/>
        <v>9234.3729999999996</v>
      </c>
      <c r="U9" s="51">
        <f t="shared" si="4"/>
        <v>8941.82</v>
      </c>
      <c r="V9" s="51">
        <f t="shared" si="4"/>
        <v>1983.8</v>
      </c>
      <c r="W9" s="51">
        <f t="shared" si="4"/>
        <v>1983.8</v>
      </c>
      <c r="X9" s="51">
        <f t="shared" si="4"/>
        <v>5321.4899999999989</v>
      </c>
      <c r="Y9" s="51">
        <f t="shared" si="4"/>
        <v>4048.88</v>
      </c>
      <c r="Z9" s="51">
        <f t="shared" si="4"/>
        <v>7850.2880000000005</v>
      </c>
      <c r="AA9" s="51">
        <f t="shared" si="4"/>
        <v>7617.5499999999993</v>
      </c>
      <c r="AB9" s="51">
        <f t="shared" si="4"/>
        <v>12230.659</v>
      </c>
      <c r="AC9" s="51">
        <f t="shared" si="4"/>
        <v>9588.35</v>
      </c>
      <c r="AD9" s="51">
        <f t="shared" si="4"/>
        <v>12960.383</v>
      </c>
      <c r="AE9" s="51">
        <f t="shared" si="4"/>
        <v>12961.385</v>
      </c>
      <c r="AF9" s="51">
        <f t="shared" si="4"/>
        <v>2049.462</v>
      </c>
      <c r="AG9" s="51">
        <f t="shared" si="4"/>
        <v>9596.119999999999</v>
      </c>
      <c r="AH9" s="52"/>
    </row>
    <row r="10" spans="1:35" s="53" customFormat="1" ht="40.5" customHeight="1" x14ac:dyDescent="0.25">
      <c r="A10" s="48"/>
      <c r="B10" s="49"/>
      <c r="C10" s="50" t="s">
        <v>30</v>
      </c>
      <c r="D10" s="51">
        <f>J10+L10+N10+P10+R10+T10+V10+X10+Z10+AB10+AD10+AF10</f>
        <v>3995769.0315000005</v>
      </c>
      <c r="E10" s="51">
        <f t="shared" ref="E10:E12" si="5">J10+L10+N10+P10+R10+T10+V10+X10+Z10+AB10+AD10+AF10</f>
        <v>3995769.0315000005</v>
      </c>
      <c r="F10" s="51">
        <f t="shared" ref="F10:F12" si="6">G10</f>
        <v>3609130.302741</v>
      </c>
      <c r="G10" s="51">
        <f t="shared" ref="G10:G12" si="7">K10+M10+O10+Q10+S10+U10+W10+Y10+AA10+AC10+AE10+AG10</f>
        <v>3609130.302741</v>
      </c>
      <c r="H10" s="51">
        <f>IFERROR(G10/D10*100,0)</f>
        <v>90.323796853346721</v>
      </c>
      <c r="I10" s="51">
        <f>IFERROR(G10/E10*100,0)</f>
        <v>90.323796853346721</v>
      </c>
      <c r="J10" s="51">
        <f>J16+J21+J35+J74+J109</f>
        <v>206861.334</v>
      </c>
      <c r="K10" s="51">
        <f t="shared" ref="K10:AG10" si="8">K16+K21+K35+K74+K109</f>
        <v>44588.906000000003</v>
      </c>
      <c r="L10" s="51">
        <f t="shared" si="8"/>
        <v>356228.228</v>
      </c>
      <c r="M10" s="51">
        <f t="shared" si="8"/>
        <v>81428.194999999992</v>
      </c>
      <c r="N10" s="51">
        <f t="shared" si="8"/>
        <v>294778.05200000008</v>
      </c>
      <c r="O10" s="51">
        <f t="shared" si="8"/>
        <v>381675.02632</v>
      </c>
      <c r="P10" s="51">
        <f t="shared" si="8"/>
        <v>275560.12200000003</v>
      </c>
      <c r="Q10" s="51">
        <f t="shared" si="8"/>
        <v>368706.49000000005</v>
      </c>
      <c r="R10" s="51">
        <f t="shared" si="8"/>
        <v>166738.14600000001</v>
      </c>
      <c r="S10" s="51">
        <f t="shared" si="8"/>
        <v>215604.12999999998</v>
      </c>
      <c r="T10" s="51">
        <f t="shared" si="8"/>
        <v>284340.00841999997</v>
      </c>
      <c r="U10" s="51">
        <f t="shared" si="8"/>
        <v>464138.25242099998</v>
      </c>
      <c r="V10" s="51">
        <f t="shared" si="8"/>
        <v>474138.93171000003</v>
      </c>
      <c r="W10" s="51">
        <f t="shared" si="8"/>
        <v>473075.05000000005</v>
      </c>
      <c r="X10" s="51">
        <f t="shared" si="8"/>
        <v>261866.02690999996</v>
      </c>
      <c r="Y10" s="51">
        <f t="shared" si="8"/>
        <v>165577.81</v>
      </c>
      <c r="Z10" s="51">
        <f t="shared" si="8"/>
        <v>493758.04700000002</v>
      </c>
      <c r="AA10" s="51">
        <f t="shared" si="8"/>
        <v>306745.42099999997</v>
      </c>
      <c r="AB10" s="51">
        <f t="shared" si="8"/>
        <v>409076.45800000004</v>
      </c>
      <c r="AC10" s="51">
        <f t="shared" si="8"/>
        <v>200234.40000000002</v>
      </c>
      <c r="AD10" s="51">
        <f t="shared" si="8"/>
        <v>302332.01146000007</v>
      </c>
      <c r="AE10" s="51">
        <f t="shared" si="8"/>
        <v>485233.45199999993</v>
      </c>
      <c r="AF10" s="51">
        <f t="shared" si="8"/>
        <v>470091.66600000003</v>
      </c>
      <c r="AG10" s="51">
        <f t="shared" si="8"/>
        <v>422123.17000000004</v>
      </c>
      <c r="AH10" s="52"/>
    </row>
    <row r="11" spans="1:35" s="53" customFormat="1" ht="40.5" customHeight="1" x14ac:dyDescent="0.25">
      <c r="A11" s="48"/>
      <c r="B11" s="49"/>
      <c r="C11" s="50" t="s">
        <v>31</v>
      </c>
      <c r="D11" s="51">
        <f>J11+L11+N11+P11+R11+T11+V11+X11+Z11+AB11+AD11+AF11</f>
        <v>982768.85610999994</v>
      </c>
      <c r="E11" s="51">
        <f t="shared" si="5"/>
        <v>982768.85610999994</v>
      </c>
      <c r="F11" s="51">
        <f t="shared" si="6"/>
        <v>919044.88628000009</v>
      </c>
      <c r="G11" s="51">
        <f t="shared" si="7"/>
        <v>919044.88628000009</v>
      </c>
      <c r="H11" s="51">
        <f>IFERROR(G11/D11*100,0)</f>
        <v>93.515874110802372</v>
      </c>
      <c r="I11" s="51">
        <f>IFERROR(G11/E11*100,0)</f>
        <v>93.515874110802372</v>
      </c>
      <c r="J11" s="51">
        <f>J18+J22+J36+J75+J82+J96+J103+J112+J114+J110+J111</f>
        <v>90032.301000000007</v>
      </c>
      <c r="K11" s="51">
        <f t="shared" ref="K11:AG11" si="9">K18+K22+K36+K75+K82+K96+K103+K112+K114+K110+K111</f>
        <v>84826.47600000001</v>
      </c>
      <c r="L11" s="51">
        <f t="shared" si="9"/>
        <v>81318.804999999993</v>
      </c>
      <c r="M11" s="51">
        <f t="shared" si="9"/>
        <v>79233.978999999992</v>
      </c>
      <c r="N11" s="51">
        <f t="shared" si="9"/>
        <v>77552.252000000008</v>
      </c>
      <c r="O11" s="51">
        <f t="shared" si="9"/>
        <v>77614.904150000002</v>
      </c>
      <c r="P11" s="51">
        <f t="shared" si="9"/>
        <v>77388.202000000005</v>
      </c>
      <c r="Q11" s="51">
        <f t="shared" si="9"/>
        <v>77025.59</v>
      </c>
      <c r="R11" s="51">
        <f t="shared" si="9"/>
        <v>79517.235000000015</v>
      </c>
      <c r="S11" s="51">
        <f t="shared" si="9"/>
        <v>73871.739999999991</v>
      </c>
      <c r="T11" s="51">
        <f t="shared" si="9"/>
        <v>91290.050719999999</v>
      </c>
      <c r="U11" s="51">
        <f t="shared" si="9"/>
        <v>85828.540720000005</v>
      </c>
      <c r="V11" s="51">
        <f t="shared" si="9"/>
        <v>83420.544559999995</v>
      </c>
      <c r="W11" s="51">
        <f t="shared" si="9"/>
        <v>83421.680000000008</v>
      </c>
      <c r="X11" s="51">
        <f t="shared" si="9"/>
        <v>98491.84199999999</v>
      </c>
      <c r="Y11" s="51">
        <f t="shared" si="9"/>
        <v>95391.790000000008</v>
      </c>
      <c r="Z11" s="51">
        <f t="shared" si="9"/>
        <v>62573.582000000002</v>
      </c>
      <c r="AA11" s="51">
        <f t="shared" si="9"/>
        <v>33792.446409999997</v>
      </c>
      <c r="AB11" s="51">
        <f t="shared" si="9"/>
        <v>78498.682220000002</v>
      </c>
      <c r="AC11" s="51">
        <f t="shared" si="9"/>
        <v>91782.8</v>
      </c>
      <c r="AD11" s="51">
        <f t="shared" si="9"/>
        <v>76626.16161000001</v>
      </c>
      <c r="AE11" s="51">
        <f t="shared" si="9"/>
        <v>94504.29</v>
      </c>
      <c r="AF11" s="51">
        <f t="shared" si="9"/>
        <v>86059.197999999989</v>
      </c>
      <c r="AG11" s="51">
        <f t="shared" si="9"/>
        <v>41750.649999999994</v>
      </c>
      <c r="AH11" s="52"/>
    </row>
    <row r="12" spans="1:35" s="53" customFormat="1" ht="34.5" customHeight="1" x14ac:dyDescent="0.25">
      <c r="A12" s="54"/>
      <c r="B12" s="55"/>
      <c r="C12" s="50" t="s">
        <v>32</v>
      </c>
      <c r="D12" s="51">
        <f t="shared" ref="D12" si="10">J12+L12+N12+P12+R12+T12+V12+X12+Z12+AB12+AD12+AF12</f>
        <v>125867.98899999999</v>
      </c>
      <c r="E12" s="51">
        <f t="shared" si="5"/>
        <v>125867.98899999999</v>
      </c>
      <c r="F12" s="51">
        <f t="shared" si="6"/>
        <v>110538.818</v>
      </c>
      <c r="G12" s="51">
        <f t="shared" si="7"/>
        <v>110538.818</v>
      </c>
      <c r="H12" s="51">
        <f>IFERROR(G12/D12*100,0)</f>
        <v>87.821231496754919</v>
      </c>
      <c r="I12" s="51">
        <f>IFERROR(G12/E12*100,0)</f>
        <v>87.821231496754919</v>
      </c>
      <c r="J12" s="51">
        <f t="shared" ref="J12:AG12" si="11">J37+J110</f>
        <v>31362.18</v>
      </c>
      <c r="K12" s="51">
        <f t="shared" si="11"/>
        <v>5718.9219999999996</v>
      </c>
      <c r="L12" s="51">
        <f t="shared" si="11"/>
        <v>13891.33</v>
      </c>
      <c r="M12" s="51">
        <f t="shared" si="11"/>
        <v>11215.286</v>
      </c>
      <c r="N12" s="51">
        <f t="shared" si="11"/>
        <v>10899.261</v>
      </c>
      <c r="O12" s="51">
        <f t="shared" si="11"/>
        <v>11274.9</v>
      </c>
      <c r="P12" s="51">
        <f t="shared" si="11"/>
        <v>9704.4680000000008</v>
      </c>
      <c r="Q12" s="51">
        <f t="shared" si="11"/>
        <v>10567.06</v>
      </c>
      <c r="R12" s="51">
        <f t="shared" si="11"/>
        <v>9064.6729999999989</v>
      </c>
      <c r="S12" s="51">
        <f t="shared" si="11"/>
        <v>9139.73</v>
      </c>
      <c r="T12" s="51">
        <f t="shared" si="11"/>
        <v>8441.6779999999999</v>
      </c>
      <c r="U12" s="51">
        <f t="shared" si="11"/>
        <v>6089.14</v>
      </c>
      <c r="V12" s="51">
        <f t="shared" si="11"/>
        <v>6165.4719999999998</v>
      </c>
      <c r="W12" s="51">
        <f t="shared" si="11"/>
        <v>5000</v>
      </c>
      <c r="X12" s="51">
        <f t="shared" si="11"/>
        <v>5972.3149999999996</v>
      </c>
      <c r="Y12" s="51">
        <f t="shared" si="11"/>
        <v>5972.32</v>
      </c>
      <c r="Z12" s="51">
        <f t="shared" si="11"/>
        <v>9932.8310000000001</v>
      </c>
      <c r="AA12" s="51">
        <f t="shared" si="11"/>
        <v>7164.07</v>
      </c>
      <c r="AB12" s="51">
        <f t="shared" si="11"/>
        <v>6884.62</v>
      </c>
      <c r="AC12" s="51">
        <f t="shared" si="11"/>
        <v>25854.03</v>
      </c>
      <c r="AD12" s="51">
        <f t="shared" si="11"/>
        <v>5989.6809999999996</v>
      </c>
      <c r="AE12" s="51">
        <f t="shared" si="11"/>
        <v>5589.69</v>
      </c>
      <c r="AF12" s="51">
        <f t="shared" si="11"/>
        <v>7559.48</v>
      </c>
      <c r="AG12" s="51">
        <f t="shared" si="11"/>
        <v>6953.67</v>
      </c>
      <c r="AH12" s="52"/>
    </row>
    <row r="13" spans="1:35" s="61" customFormat="1" ht="18.75" customHeight="1" x14ac:dyDescent="0.25">
      <c r="A13" s="56"/>
      <c r="B13" s="57" t="s">
        <v>33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60"/>
    </row>
    <row r="14" spans="1:35" s="68" customFormat="1" ht="23.25" customHeight="1" x14ac:dyDescent="0.25">
      <c r="A14" s="62" t="s">
        <v>34</v>
      </c>
      <c r="B14" s="63" t="s">
        <v>35</v>
      </c>
      <c r="C14" s="64" t="s">
        <v>28</v>
      </c>
      <c r="D14" s="44">
        <f>D16+D18+D15+D17</f>
        <v>1449841.0316100002</v>
      </c>
      <c r="E14" s="44">
        <f>E16+E18+E15+E17</f>
        <v>1449841.0316100002</v>
      </c>
      <c r="F14" s="44">
        <f>F16+F18+F15+F17</f>
        <v>1034914.705021</v>
      </c>
      <c r="G14" s="44">
        <f>G16+G18+G15+G17</f>
        <v>1034914.705021</v>
      </c>
      <c r="H14" s="44">
        <f>H16+H18+H15+H17</f>
        <v>242.51854164680148</v>
      </c>
      <c r="I14" s="65">
        <f>IFERROR(G14/E14*100,0)</f>
        <v>71.381253700053009</v>
      </c>
      <c r="J14" s="44">
        <f t="shared" ref="J14:AG14" si="12">J16+J18+J15+J17</f>
        <v>0</v>
      </c>
      <c r="K14" s="44">
        <f t="shared" si="12"/>
        <v>0</v>
      </c>
      <c r="L14" s="44">
        <f t="shared" si="12"/>
        <v>0</v>
      </c>
      <c r="M14" s="44">
        <f t="shared" si="12"/>
        <v>0</v>
      </c>
      <c r="N14" s="44">
        <f t="shared" si="12"/>
        <v>13869.64</v>
      </c>
      <c r="O14" s="44">
        <f t="shared" si="12"/>
        <v>13869.64147</v>
      </c>
      <c r="P14" s="44">
        <f t="shared" si="12"/>
        <v>18881.23</v>
      </c>
      <c r="Q14" s="44">
        <f t="shared" si="12"/>
        <v>18218.509999999998</v>
      </c>
      <c r="R14" s="44">
        <f t="shared" si="12"/>
        <v>47452.89</v>
      </c>
      <c r="S14" s="44">
        <f t="shared" si="12"/>
        <v>47452.89</v>
      </c>
      <c r="T14" s="44">
        <f t="shared" si="12"/>
        <v>62632.507140000002</v>
      </c>
      <c r="U14" s="44">
        <f t="shared" si="12"/>
        <v>62632.507140999995</v>
      </c>
      <c r="V14" s="44">
        <f t="shared" si="12"/>
        <v>96205.718269999998</v>
      </c>
      <c r="W14" s="44">
        <f t="shared" si="12"/>
        <v>96868.45</v>
      </c>
      <c r="X14" s="44">
        <f t="shared" si="12"/>
        <v>174264.07990999997</v>
      </c>
      <c r="Y14" s="44">
        <f t="shared" si="12"/>
        <v>116864.53</v>
      </c>
      <c r="Z14" s="44">
        <f t="shared" si="12"/>
        <v>366180.76</v>
      </c>
      <c r="AA14" s="44">
        <f t="shared" si="12"/>
        <v>174580.29641000001</v>
      </c>
      <c r="AB14" s="44">
        <f t="shared" si="12"/>
        <v>136665.60021999999</v>
      </c>
      <c r="AC14" s="44">
        <f t="shared" si="12"/>
        <v>136782.33000000002</v>
      </c>
      <c r="AD14" s="44">
        <f t="shared" si="12"/>
        <v>167035.73607000001</v>
      </c>
      <c r="AE14" s="44">
        <f t="shared" si="12"/>
        <v>367645.55</v>
      </c>
      <c r="AF14" s="44">
        <f t="shared" si="12"/>
        <v>366652.87</v>
      </c>
      <c r="AG14" s="44">
        <f t="shared" si="12"/>
        <v>0</v>
      </c>
      <c r="AH14" s="66"/>
      <c r="AI14" s="67"/>
    </row>
    <row r="15" spans="1:35" s="68" customFormat="1" ht="17.25" customHeight="1" x14ac:dyDescent="0.25">
      <c r="A15" s="69"/>
      <c r="B15" s="70"/>
      <c r="C15" s="71" t="s">
        <v>29</v>
      </c>
      <c r="D15" s="51">
        <f>SUM(J15,L15,N15,P15,R15,T15,V15,X15,Z15,AB15,AD15,AF15)</f>
        <v>11083.8</v>
      </c>
      <c r="E15" s="65">
        <f>J15+L15+N15+P15+R15+T15+V15+X15+Z15+AB15</f>
        <v>11083.8</v>
      </c>
      <c r="F15" s="65">
        <f>G15</f>
        <v>11083.8</v>
      </c>
      <c r="G15" s="65">
        <f>SUM(K15,M15,O15,Q15,S15,U15,W15,Y15,AA15,AC15,AE15,AG15)</f>
        <v>11083.8</v>
      </c>
      <c r="H15" s="65">
        <f t="shared" ref="H15:H19" si="13">IFERROR(G15/D15*100,0)</f>
        <v>100</v>
      </c>
      <c r="I15" s="65">
        <f t="shared" ref="I15:I19" si="14">IFERROR(G15/E15*100,0)</f>
        <v>100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11083.8</v>
      </c>
      <c r="S15" s="65">
        <v>11083.8</v>
      </c>
      <c r="T15" s="65"/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6"/>
      <c r="AI15" s="67"/>
    </row>
    <row r="16" spans="1:35" s="68" customFormat="1" ht="37.5" customHeight="1" x14ac:dyDescent="0.25">
      <c r="A16" s="69"/>
      <c r="B16" s="70"/>
      <c r="C16" s="71" t="s">
        <v>30</v>
      </c>
      <c r="D16" s="51">
        <f>SUM(J16,L16,N16,P16,R16,T16,V16,X16,Z16,AB16,AD16,AF16)</f>
        <v>1293765.6345000002</v>
      </c>
      <c r="E16" s="65">
        <f>J16+L16+N16+P16+R16+T16+V16+X16+Z16+AB16+AD16+AF16</f>
        <v>1293765.6345000002</v>
      </c>
      <c r="F16" s="65">
        <f>G16</f>
        <v>920332.10374099994</v>
      </c>
      <c r="G16" s="65">
        <f>SUM(K16,M16,O16,Q16,S16,U16,W16,Y16,AA16,AC16,AE16,AG16)</f>
        <v>920332.10374099994</v>
      </c>
      <c r="H16" s="65">
        <f t="shared" si="13"/>
        <v>71.135921313652716</v>
      </c>
      <c r="I16" s="65">
        <f>IFERROR(G16/E16*100,0)</f>
        <v>71.135921313652716</v>
      </c>
      <c r="J16" s="72">
        <v>0</v>
      </c>
      <c r="K16" s="72">
        <v>0</v>
      </c>
      <c r="L16" s="72">
        <v>0</v>
      </c>
      <c r="M16" s="72">
        <v>0</v>
      </c>
      <c r="N16" s="73">
        <v>12482.68</v>
      </c>
      <c r="O16" s="73">
        <v>12482.677320000001</v>
      </c>
      <c r="P16" s="73">
        <v>16993.11</v>
      </c>
      <c r="Q16" s="73">
        <v>16396.66</v>
      </c>
      <c r="R16" s="73">
        <v>31623.8</v>
      </c>
      <c r="S16" s="73">
        <v>31623.8</v>
      </c>
      <c r="T16" s="73">
        <v>56369.256420000005</v>
      </c>
      <c r="U16" s="74">
        <v>56369.256420999998</v>
      </c>
      <c r="V16" s="73">
        <v>76838.384709999998</v>
      </c>
      <c r="W16" s="74">
        <v>77434.84</v>
      </c>
      <c r="X16" s="73">
        <v>154867.17090999999</v>
      </c>
      <c r="Y16" s="72">
        <v>97467.62</v>
      </c>
      <c r="Z16" s="73">
        <v>341272.63</v>
      </c>
      <c r="AA16" s="72">
        <v>174572.17</v>
      </c>
      <c r="AB16" s="73">
        <v>122999.03999999999</v>
      </c>
      <c r="AC16" s="73">
        <v>123104.1</v>
      </c>
      <c r="AD16" s="73">
        <v>150332.16246000002</v>
      </c>
      <c r="AE16" s="72">
        <v>330880.98</v>
      </c>
      <c r="AF16" s="73">
        <v>329987.40000000002</v>
      </c>
      <c r="AG16" s="73"/>
      <c r="AH16" s="66"/>
      <c r="AI16" s="67"/>
    </row>
    <row r="17" spans="1:35" s="68" customFormat="1" ht="57" customHeight="1" x14ac:dyDescent="0.25">
      <c r="A17" s="69"/>
      <c r="B17" s="70"/>
      <c r="C17" s="71" t="s">
        <v>36</v>
      </c>
      <c r="D17" s="51">
        <f>SUM(J17,L17,N17,P17,R17,T17,V17,X17,Z17,AB17,AD17,AF17)</f>
        <v>0</v>
      </c>
      <c r="E17" s="65">
        <f t="shared" ref="E17" si="15">J17+L17+N17+P17+R17+T17+V17+X17+Z17+AB17</f>
        <v>0</v>
      </c>
      <c r="F17" s="65">
        <f>G17</f>
        <v>0</v>
      </c>
      <c r="G17" s="65">
        <f>SUM(K17,M17,O17,Q17,S17,U17,W17,Y17,AA17,AC17,AE17,AG17)</f>
        <v>0</v>
      </c>
      <c r="H17" s="65">
        <f t="shared" si="13"/>
        <v>0</v>
      </c>
      <c r="I17" s="65">
        <f t="shared" ref="I17" si="16">IFERROR(G17/E17*100,0)</f>
        <v>0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66"/>
      <c r="AI17" s="67"/>
    </row>
    <row r="18" spans="1:35" s="61" customFormat="1" ht="114" customHeight="1" x14ac:dyDescent="0.25">
      <c r="A18" s="76"/>
      <c r="B18" s="77"/>
      <c r="C18" s="71" t="s">
        <v>31</v>
      </c>
      <c r="D18" s="51">
        <f>SUM(J18,L18,N18,P18,R18,T18,V18,X18,Z18,AB18,AD18,AF18)</f>
        <v>144991.59711</v>
      </c>
      <c r="E18" s="65">
        <f>J18+L18+N18+P18+R18+T18+V18+X18+Z18+AB18+AD18+AF18</f>
        <v>144991.59711</v>
      </c>
      <c r="F18" s="65">
        <f>G18</f>
        <v>103498.80127999999</v>
      </c>
      <c r="G18" s="65">
        <f>SUM(K18,M18,O18,Q18,S18,U18,W18,Y18,AA18,AC18,AE18,AG18)</f>
        <v>103498.80127999999</v>
      </c>
      <c r="H18" s="65">
        <f t="shared" si="13"/>
        <v>71.382620333148765</v>
      </c>
      <c r="I18" s="65">
        <f>IFERROR(G18/E18*100,0)</f>
        <v>71.382620333148765</v>
      </c>
      <c r="J18" s="72">
        <v>0</v>
      </c>
      <c r="K18" s="72">
        <v>0</v>
      </c>
      <c r="L18" s="72">
        <v>0</v>
      </c>
      <c r="M18" s="72">
        <v>0</v>
      </c>
      <c r="N18" s="73">
        <v>1386.96</v>
      </c>
      <c r="O18" s="73">
        <v>1386.96415</v>
      </c>
      <c r="P18" s="73">
        <v>1888.12</v>
      </c>
      <c r="Q18" s="73">
        <v>1821.85</v>
      </c>
      <c r="R18" s="73">
        <v>4745.29</v>
      </c>
      <c r="S18" s="73">
        <v>4745.29</v>
      </c>
      <c r="T18" s="73">
        <v>6263.25072</v>
      </c>
      <c r="U18" s="74">
        <v>6263.25072</v>
      </c>
      <c r="V18" s="73">
        <v>19367.333559999999</v>
      </c>
      <c r="W18" s="74">
        <v>19433.61</v>
      </c>
      <c r="X18" s="73">
        <v>19396.909</v>
      </c>
      <c r="Y18" s="72">
        <v>19396.91</v>
      </c>
      <c r="Z18" s="73">
        <v>24908.13</v>
      </c>
      <c r="AA18" s="72">
        <v>8.1264099999999999</v>
      </c>
      <c r="AB18" s="73">
        <v>13666.560220000001</v>
      </c>
      <c r="AC18" s="73">
        <v>13678.23</v>
      </c>
      <c r="AD18" s="73">
        <v>16703.573609999999</v>
      </c>
      <c r="AE18" s="72">
        <v>36764.57</v>
      </c>
      <c r="AF18" s="73">
        <v>36665.47</v>
      </c>
      <c r="AG18" s="73"/>
      <c r="AH18" s="60" t="s">
        <v>37</v>
      </c>
      <c r="AI18" s="78"/>
    </row>
    <row r="19" spans="1:35" s="61" customFormat="1" ht="27.75" customHeight="1" x14ac:dyDescent="0.25">
      <c r="A19" s="79" t="s">
        <v>38</v>
      </c>
      <c r="B19" s="63" t="s">
        <v>39</v>
      </c>
      <c r="C19" s="64" t="s">
        <v>28</v>
      </c>
      <c r="D19" s="44">
        <f>D22+D21+D20</f>
        <v>100672.59600000001</v>
      </c>
      <c r="E19" s="44">
        <f t="shared" ref="E19:G19" si="17">E22+E21+E20</f>
        <v>100672.59600000001</v>
      </c>
      <c r="F19" s="44">
        <f t="shared" si="17"/>
        <v>100507.00000000001</v>
      </c>
      <c r="G19" s="44">
        <f t="shared" si="17"/>
        <v>100507.00000000001</v>
      </c>
      <c r="H19" s="80">
        <f t="shared" si="13"/>
        <v>99.835510350800945</v>
      </c>
      <c r="I19" s="80">
        <f t="shared" si="14"/>
        <v>99.835510350800945</v>
      </c>
      <c r="J19" s="81">
        <f>J22+J21+J20</f>
        <v>9173.4399999999987</v>
      </c>
      <c r="K19" s="81">
        <f t="shared" ref="K19:AG19" si="18">K22+K21+K20</f>
        <v>0</v>
      </c>
      <c r="L19" s="81">
        <f t="shared" si="18"/>
        <v>9135.5419999999976</v>
      </c>
      <c r="M19" s="81">
        <f t="shared" si="18"/>
        <v>0</v>
      </c>
      <c r="N19" s="81">
        <f t="shared" si="18"/>
        <v>9173.4399999999987</v>
      </c>
      <c r="O19" s="81">
        <f t="shared" si="18"/>
        <v>19913.809999999998</v>
      </c>
      <c r="P19" s="81">
        <f t="shared" si="18"/>
        <v>7966.51</v>
      </c>
      <c r="Q19" s="81">
        <f t="shared" si="18"/>
        <v>7808.170000000001</v>
      </c>
      <c r="R19" s="81">
        <f t="shared" si="18"/>
        <v>24013.81</v>
      </c>
      <c r="S19" s="81">
        <f t="shared" si="18"/>
        <v>27432.39</v>
      </c>
      <c r="T19" s="81">
        <f t="shared" si="18"/>
        <v>8317.6039999999994</v>
      </c>
      <c r="U19" s="81">
        <f t="shared" si="18"/>
        <v>8249.6899999999987</v>
      </c>
      <c r="V19" s="81">
        <f t="shared" si="18"/>
        <v>2043.4159999999999</v>
      </c>
      <c r="W19" s="81">
        <f t="shared" si="18"/>
        <v>2044.28</v>
      </c>
      <c r="X19" s="81">
        <f t="shared" si="18"/>
        <v>5396.9659999999985</v>
      </c>
      <c r="Y19" s="81">
        <f t="shared" si="18"/>
        <v>4124.3599999999997</v>
      </c>
      <c r="Z19" s="81">
        <f t="shared" si="18"/>
        <v>6096.518</v>
      </c>
      <c r="AA19" s="81">
        <f t="shared" si="18"/>
        <v>5863.78</v>
      </c>
      <c r="AB19" s="81">
        <f t="shared" si="18"/>
        <v>8389.4040000000005</v>
      </c>
      <c r="AC19" s="81">
        <f t="shared" si="18"/>
        <v>8367.7899999999991</v>
      </c>
      <c r="AD19" s="81">
        <f t="shared" si="18"/>
        <v>10199.64</v>
      </c>
      <c r="AE19" s="81">
        <f t="shared" si="18"/>
        <v>10199.65</v>
      </c>
      <c r="AF19" s="81">
        <f t="shared" si="18"/>
        <v>766.30600000000004</v>
      </c>
      <c r="AG19" s="81">
        <f t="shared" si="18"/>
        <v>6503.08</v>
      </c>
      <c r="AH19" s="66"/>
      <c r="AI19" s="78"/>
    </row>
    <row r="20" spans="1:35" s="61" customFormat="1" ht="27.75" customHeight="1" x14ac:dyDescent="0.25">
      <c r="A20" s="82"/>
      <c r="B20" s="70"/>
      <c r="C20" s="71" t="s">
        <v>29</v>
      </c>
      <c r="D20" s="51">
        <f>SUM(J20,L20,N20,P20,R20,T20,V20,X20,Z20,AB20,AD20,AF20)</f>
        <v>99946.896000000008</v>
      </c>
      <c r="E20" s="51">
        <f>J20+L20+N20+P20+R20+T20+V20+X20+Z20+AB20+AD20+AF20</f>
        <v>99946.896000000008</v>
      </c>
      <c r="F20" s="51">
        <f>G20</f>
        <v>99781.400000000009</v>
      </c>
      <c r="G20" s="51">
        <f>SUM(K20,M20,O20,Q20,S20,U20,W20,Y20,AA20,AC20,AE20,AG20)</f>
        <v>99781.400000000009</v>
      </c>
      <c r="H20" s="51">
        <f>IFERROR(G20/D20*100,0)</f>
        <v>99.834416068308911</v>
      </c>
      <c r="I20" s="51">
        <f>IFERROR(G20/E20*100,0)</f>
        <v>99.834416068308911</v>
      </c>
      <c r="J20" s="75">
        <f>J24+J29+J31</f>
        <v>9112.9679999999989</v>
      </c>
      <c r="K20" s="75">
        <f t="shared" ref="K20:AG20" si="19">K24+K29+K31</f>
        <v>0</v>
      </c>
      <c r="L20" s="75">
        <f t="shared" si="19"/>
        <v>9075.0699999999979</v>
      </c>
      <c r="M20" s="75">
        <f t="shared" si="19"/>
        <v>0</v>
      </c>
      <c r="N20" s="75">
        <f t="shared" si="19"/>
        <v>9112.9679999999989</v>
      </c>
      <c r="O20" s="75">
        <f t="shared" si="19"/>
        <v>19773.759999999998</v>
      </c>
      <c r="P20" s="75">
        <f t="shared" si="19"/>
        <v>7918.0280000000002</v>
      </c>
      <c r="Q20" s="75">
        <f t="shared" si="19"/>
        <v>7796.0300000000007</v>
      </c>
      <c r="R20" s="75">
        <f t="shared" si="19"/>
        <v>23953.338</v>
      </c>
      <c r="S20" s="75">
        <f t="shared" si="19"/>
        <v>27336.23</v>
      </c>
      <c r="T20" s="75">
        <f t="shared" si="19"/>
        <v>8212.7279999999992</v>
      </c>
      <c r="U20" s="75">
        <f t="shared" si="19"/>
        <v>8145.8899999999994</v>
      </c>
      <c r="V20" s="75">
        <f t="shared" si="19"/>
        <v>1983.8</v>
      </c>
      <c r="W20" s="75">
        <f t="shared" si="19"/>
        <v>1983.8</v>
      </c>
      <c r="X20" s="75">
        <f t="shared" si="19"/>
        <v>5321.4899999999989</v>
      </c>
      <c r="Y20" s="75">
        <f t="shared" si="19"/>
        <v>4048.88</v>
      </c>
      <c r="Z20" s="75">
        <f t="shared" si="19"/>
        <v>6091.848</v>
      </c>
      <c r="AA20" s="75">
        <f t="shared" si="19"/>
        <v>5859.11</v>
      </c>
      <c r="AB20" s="75">
        <f t="shared" si="19"/>
        <v>8319.0280000000002</v>
      </c>
      <c r="AC20" s="75">
        <f t="shared" si="19"/>
        <v>8298.08</v>
      </c>
      <c r="AD20" s="75">
        <f t="shared" si="19"/>
        <v>10129.168</v>
      </c>
      <c r="AE20" s="75">
        <f t="shared" si="19"/>
        <v>10129.17</v>
      </c>
      <c r="AF20" s="75">
        <f t="shared" si="19"/>
        <v>716.46199999999999</v>
      </c>
      <c r="AG20" s="75">
        <f t="shared" si="19"/>
        <v>6410.45</v>
      </c>
      <c r="AH20" s="60"/>
      <c r="AI20" s="78"/>
    </row>
    <row r="21" spans="1:35" s="53" customFormat="1" ht="36" customHeight="1" x14ac:dyDescent="0.25">
      <c r="A21" s="82"/>
      <c r="B21" s="70"/>
      <c r="C21" s="50" t="s">
        <v>30</v>
      </c>
      <c r="D21" s="51">
        <f>SUM(J21,L21,N21,P21,R21,T21,V21,X21,Z21,AB21,AD21,AF21)</f>
        <v>713.90200000000004</v>
      </c>
      <c r="E21" s="51">
        <f t="shared" ref="E21:E22" si="20">J21+L21+N21+P21+R21+T21+V21+X21+Z21+AB21+AD21+AF21</f>
        <v>713.90200000000004</v>
      </c>
      <c r="F21" s="51">
        <f>G21</f>
        <v>713.80000000000007</v>
      </c>
      <c r="G21" s="51">
        <f>SUM(K21,M21,O21,Q21,S21,U21,W21,Y21,AA21,AC21,AE21,AG21)</f>
        <v>713.80000000000007</v>
      </c>
      <c r="H21" s="51">
        <f>IFERROR(G21/D21*100,0)</f>
        <v>99.98571232466081</v>
      </c>
      <c r="I21" s="51">
        <f>IFERROR(G21/E21*100,0)</f>
        <v>99.98571232466081</v>
      </c>
      <c r="J21" s="83">
        <f>J25</f>
        <v>59.485999999999997</v>
      </c>
      <c r="K21" s="83">
        <f t="shared" ref="K21:AG22" si="21">K25</f>
        <v>0</v>
      </c>
      <c r="L21" s="83">
        <f t="shared" si="21"/>
        <v>59.485999999999997</v>
      </c>
      <c r="M21" s="83">
        <f t="shared" si="21"/>
        <v>0</v>
      </c>
      <c r="N21" s="83">
        <f t="shared" si="21"/>
        <v>59.485999999999997</v>
      </c>
      <c r="O21" s="83">
        <f t="shared" si="21"/>
        <v>137.78</v>
      </c>
      <c r="P21" s="83">
        <f t="shared" si="21"/>
        <v>47.495999999999995</v>
      </c>
      <c r="Q21" s="83">
        <f t="shared" si="21"/>
        <v>11.93</v>
      </c>
      <c r="R21" s="83">
        <f t="shared" si="21"/>
        <v>59.485999999999997</v>
      </c>
      <c r="S21" s="83">
        <f t="shared" si="21"/>
        <v>94.6</v>
      </c>
      <c r="T21" s="83">
        <f t="shared" si="21"/>
        <v>102.21</v>
      </c>
      <c r="U21" s="83">
        <f t="shared" si="21"/>
        <v>102.11</v>
      </c>
      <c r="V21" s="83">
        <f t="shared" si="21"/>
        <v>59.485999999999997</v>
      </c>
      <c r="W21" s="83">
        <f t="shared" si="21"/>
        <v>59.49</v>
      </c>
      <c r="X21" s="83">
        <f t="shared" si="21"/>
        <v>74.490000000000009</v>
      </c>
      <c r="Y21" s="83">
        <f t="shared" si="21"/>
        <v>74.489999999999995</v>
      </c>
      <c r="Z21" s="83">
        <f t="shared" si="21"/>
        <v>3.58</v>
      </c>
      <c r="AA21" s="83">
        <f t="shared" si="21"/>
        <v>3.58</v>
      </c>
      <c r="AB21" s="83">
        <f t="shared" si="21"/>
        <v>69.486000000000004</v>
      </c>
      <c r="AC21" s="83">
        <f t="shared" si="21"/>
        <v>69.489999999999995</v>
      </c>
      <c r="AD21" s="83">
        <f t="shared" si="21"/>
        <v>69.486000000000004</v>
      </c>
      <c r="AE21" s="83">
        <f t="shared" si="21"/>
        <v>69.489999999999995</v>
      </c>
      <c r="AF21" s="83">
        <f t="shared" si="21"/>
        <v>49.723999999999997</v>
      </c>
      <c r="AG21" s="83">
        <f t="shared" si="21"/>
        <v>90.84</v>
      </c>
      <c r="AH21" s="46"/>
      <c r="AI21" s="84"/>
    </row>
    <row r="22" spans="1:35" s="53" customFormat="1" ht="39" customHeight="1" x14ac:dyDescent="0.25">
      <c r="A22" s="69"/>
      <c r="B22" s="70"/>
      <c r="C22" s="50" t="s">
        <v>31</v>
      </c>
      <c r="D22" s="51">
        <f>SUM(J22,L22,N22,P22,R22,T22,V22,X22,Z22,AB22,AD22,AF22)</f>
        <v>11.798</v>
      </c>
      <c r="E22" s="51">
        <f t="shared" si="20"/>
        <v>11.798</v>
      </c>
      <c r="F22" s="51">
        <f>G22</f>
        <v>11.8</v>
      </c>
      <c r="G22" s="51">
        <f>SUM(K22,M22,O22,Q22,S22,U22,W22,Y22,AA22,AC22,AE22,AG22)</f>
        <v>11.8</v>
      </c>
      <c r="H22" s="51">
        <f>IFERROR(G22/D22*100,0)</f>
        <v>100.01695202576708</v>
      </c>
      <c r="I22" s="51">
        <f>IFERROR(G22/E22*100,0)</f>
        <v>100.01695202576708</v>
      </c>
      <c r="J22" s="83">
        <f>J26</f>
        <v>0.98599999999999999</v>
      </c>
      <c r="K22" s="83">
        <f t="shared" si="21"/>
        <v>0</v>
      </c>
      <c r="L22" s="83">
        <f t="shared" si="21"/>
        <v>0.98599999999999999</v>
      </c>
      <c r="M22" s="83">
        <f t="shared" si="21"/>
        <v>0</v>
      </c>
      <c r="N22" s="83">
        <f t="shared" si="21"/>
        <v>0.98599999999999999</v>
      </c>
      <c r="O22" s="83">
        <f t="shared" si="21"/>
        <v>2.27</v>
      </c>
      <c r="P22" s="83">
        <f t="shared" si="21"/>
        <v>0.98599999999999999</v>
      </c>
      <c r="Q22" s="83">
        <f t="shared" si="21"/>
        <v>0.21</v>
      </c>
      <c r="R22" s="83">
        <f t="shared" si="21"/>
        <v>0.98599999999999999</v>
      </c>
      <c r="S22" s="83">
        <f t="shared" si="21"/>
        <v>1.56</v>
      </c>
      <c r="T22" s="83">
        <f t="shared" si="21"/>
        <v>2.6659999999999999</v>
      </c>
      <c r="U22" s="83">
        <f t="shared" si="21"/>
        <v>1.69</v>
      </c>
      <c r="V22" s="83">
        <f t="shared" si="21"/>
        <v>0.13</v>
      </c>
      <c r="W22" s="83">
        <f t="shared" si="21"/>
        <v>0.99</v>
      </c>
      <c r="X22" s="83">
        <f t="shared" si="21"/>
        <v>0.98599999999999999</v>
      </c>
      <c r="Y22" s="83">
        <f t="shared" si="21"/>
        <v>0.99</v>
      </c>
      <c r="Z22" s="83">
        <f t="shared" si="21"/>
        <v>1.0900000000000001</v>
      </c>
      <c r="AA22" s="83">
        <f t="shared" si="21"/>
        <v>1.0900000000000001</v>
      </c>
      <c r="AB22" s="83">
        <f t="shared" si="21"/>
        <v>0.89</v>
      </c>
      <c r="AC22" s="83">
        <f t="shared" si="21"/>
        <v>0.22</v>
      </c>
      <c r="AD22" s="83">
        <f t="shared" si="21"/>
        <v>0.98599999999999999</v>
      </c>
      <c r="AE22" s="83">
        <f t="shared" si="21"/>
        <v>0.99</v>
      </c>
      <c r="AF22" s="83">
        <f t="shared" si="21"/>
        <v>0.12</v>
      </c>
      <c r="AG22" s="83">
        <f t="shared" si="21"/>
        <v>1.79</v>
      </c>
      <c r="AH22" s="46"/>
      <c r="AI22" s="84"/>
    </row>
    <row r="23" spans="1:35" s="61" customFormat="1" ht="30.75" customHeight="1" x14ac:dyDescent="0.25">
      <c r="A23" s="85"/>
      <c r="B23" s="86" t="s">
        <v>40</v>
      </c>
      <c r="C23" s="64" t="s">
        <v>28</v>
      </c>
      <c r="D23" s="44">
        <f>D26+D25+D24</f>
        <v>1182.096</v>
      </c>
      <c r="E23" s="44">
        <f>E26+E25+E24</f>
        <v>1182.096</v>
      </c>
      <c r="F23" s="44">
        <f t="shared" ref="F23:G23" si="22">F26+F25+F24</f>
        <v>1181.9000000000001</v>
      </c>
      <c r="G23" s="44">
        <f t="shared" si="22"/>
        <v>1181.9000000000001</v>
      </c>
      <c r="H23" s="80">
        <f t="shared" ref="H23" si="23">IFERROR(G23/D23*100,0)</f>
        <v>99.983419282359478</v>
      </c>
      <c r="I23" s="80">
        <f t="shared" ref="I23" si="24">IFERROR(G23/E23*100,0)</f>
        <v>99.983419282359478</v>
      </c>
      <c r="J23" s="81">
        <f>J26+J25+J24</f>
        <v>98.5</v>
      </c>
      <c r="K23" s="81">
        <f t="shared" ref="K23:AG23" si="25">K26+K25+K24</f>
        <v>0</v>
      </c>
      <c r="L23" s="81">
        <f t="shared" si="25"/>
        <v>60.601999999999997</v>
      </c>
      <c r="M23" s="81">
        <f t="shared" si="25"/>
        <v>0</v>
      </c>
      <c r="N23" s="81">
        <f t="shared" si="25"/>
        <v>98.5</v>
      </c>
      <c r="O23" s="81">
        <f t="shared" si="25"/>
        <v>228.14000000000001</v>
      </c>
      <c r="P23" s="81">
        <f t="shared" si="25"/>
        <v>86.509999999999991</v>
      </c>
      <c r="Q23" s="81">
        <f t="shared" si="25"/>
        <v>19.77</v>
      </c>
      <c r="R23" s="81">
        <f t="shared" si="25"/>
        <v>136.52999999999997</v>
      </c>
      <c r="S23" s="81">
        <f t="shared" si="25"/>
        <v>156.63999999999999</v>
      </c>
      <c r="T23" s="81">
        <f t="shared" si="25"/>
        <v>209.60399999999998</v>
      </c>
      <c r="U23" s="81">
        <f t="shared" si="25"/>
        <v>169.04</v>
      </c>
      <c r="V23" s="81">
        <f t="shared" si="25"/>
        <v>59.616</v>
      </c>
      <c r="W23" s="81">
        <f t="shared" si="25"/>
        <v>60.480000000000004</v>
      </c>
      <c r="X23" s="81">
        <f t="shared" si="25"/>
        <v>84.836000000000013</v>
      </c>
      <c r="Y23" s="81">
        <f t="shared" si="25"/>
        <v>84.839999999999989</v>
      </c>
      <c r="Z23" s="81">
        <f t="shared" si="25"/>
        <v>42.698</v>
      </c>
      <c r="AA23" s="81">
        <f t="shared" si="25"/>
        <v>51.620000000000005</v>
      </c>
      <c r="AB23" s="81">
        <f t="shared" si="25"/>
        <v>108.404</v>
      </c>
      <c r="AC23" s="81">
        <f t="shared" si="25"/>
        <v>107.74</v>
      </c>
      <c r="AD23" s="81">
        <f t="shared" si="25"/>
        <v>108.5</v>
      </c>
      <c r="AE23" s="81">
        <f t="shared" si="25"/>
        <v>108.50999999999999</v>
      </c>
      <c r="AF23" s="81">
        <f t="shared" si="25"/>
        <v>87.795999999999992</v>
      </c>
      <c r="AG23" s="81">
        <f t="shared" si="25"/>
        <v>195.12</v>
      </c>
      <c r="AH23" s="66" t="s">
        <v>41</v>
      </c>
      <c r="AI23" s="78"/>
    </row>
    <row r="24" spans="1:35" s="61" customFormat="1" ht="22.5" customHeight="1" x14ac:dyDescent="0.25">
      <c r="A24" s="87"/>
      <c r="B24" s="88"/>
      <c r="C24" s="71" t="s">
        <v>29</v>
      </c>
      <c r="D24" s="51">
        <f>SUM(J24,L24,N24,P24,R24,T24,V24,X24,Z24,AB24,AD24,AF24)</f>
        <v>456.39600000000007</v>
      </c>
      <c r="E24" s="65">
        <f>J24+L24+N24+P24+R24+T24+V24+X24+Z24+AB24+AD24+AF24</f>
        <v>456.39600000000007</v>
      </c>
      <c r="F24" s="65">
        <f>G24</f>
        <v>456.29999999999995</v>
      </c>
      <c r="G24" s="65">
        <f>SUM(K24,M24,O24,Q24,S24,U24,W24,Y24,AA24,AC24,AE24,AG24)</f>
        <v>456.29999999999995</v>
      </c>
      <c r="H24" s="65">
        <f>IFERROR(G24/D24*100,0)</f>
        <v>99.978965635106334</v>
      </c>
      <c r="I24" s="65">
        <f>IFERROR(G24/E24*100,0)</f>
        <v>99.978965635106334</v>
      </c>
      <c r="J24" s="75">
        <v>38.027999999999999</v>
      </c>
      <c r="K24" s="75">
        <v>0</v>
      </c>
      <c r="L24" s="75">
        <v>0.13</v>
      </c>
      <c r="M24" s="75">
        <v>0</v>
      </c>
      <c r="N24" s="75">
        <v>38.027999999999999</v>
      </c>
      <c r="O24" s="75">
        <v>88.09</v>
      </c>
      <c r="P24" s="75">
        <v>38.027999999999999</v>
      </c>
      <c r="Q24" s="75">
        <v>7.63</v>
      </c>
      <c r="R24" s="75">
        <f>38.028+38.03</f>
        <v>76.057999999999993</v>
      </c>
      <c r="S24" s="75">
        <v>60.48</v>
      </c>
      <c r="T24" s="75">
        <f>66.7+38.028</f>
        <v>104.72800000000001</v>
      </c>
      <c r="U24" s="75">
        <v>65.239999999999995</v>
      </c>
      <c r="V24" s="75">
        <v>0</v>
      </c>
      <c r="W24" s="75">
        <v>0</v>
      </c>
      <c r="X24" s="75">
        <v>9.36</v>
      </c>
      <c r="Y24" s="75">
        <v>9.36</v>
      </c>
      <c r="Z24" s="75">
        <v>38.027999999999999</v>
      </c>
      <c r="AA24" s="75">
        <v>46.95</v>
      </c>
      <c r="AB24" s="75">
        <v>38.027999999999999</v>
      </c>
      <c r="AC24" s="75">
        <v>38.03</v>
      </c>
      <c r="AD24" s="75">
        <v>38.027999999999999</v>
      </c>
      <c r="AE24" s="75">
        <v>38.03</v>
      </c>
      <c r="AF24" s="75">
        <f>37.89+38.092-38.03</f>
        <v>37.951999999999998</v>
      </c>
      <c r="AG24" s="75">
        <v>102.49</v>
      </c>
      <c r="AH24" s="66"/>
      <c r="AI24" s="78"/>
    </row>
    <row r="25" spans="1:35" s="61" customFormat="1" ht="39.75" customHeight="1" x14ac:dyDescent="0.25">
      <c r="A25" s="87"/>
      <c r="B25" s="88"/>
      <c r="C25" s="50" t="s">
        <v>30</v>
      </c>
      <c r="D25" s="51">
        <f>SUM(J25,L25,N25,P25,R25,T25,V25,X25,Z25,AB25,AD25,AF25)</f>
        <v>713.90200000000004</v>
      </c>
      <c r="E25" s="65">
        <f t="shared" ref="E25:E26" si="26">J25+L25+N25+P25+R25+T25+V25+X25+Z25+AB25+AD25+AF25</f>
        <v>713.90200000000004</v>
      </c>
      <c r="F25" s="65">
        <f>G25</f>
        <v>713.80000000000007</v>
      </c>
      <c r="G25" s="65">
        <f>SUM(K25,M25,O25,Q25,S25,U25,W25,Y25,AA25,AC25,AE25,AG25)</f>
        <v>713.80000000000007</v>
      </c>
      <c r="H25" s="65">
        <f>IFERROR(G25/D25*100,0)</f>
        <v>99.98571232466081</v>
      </c>
      <c r="I25" s="65">
        <f>IFERROR(G25/E25*100,0)</f>
        <v>99.98571232466081</v>
      </c>
      <c r="J25" s="75">
        <v>59.485999999999997</v>
      </c>
      <c r="K25" s="75">
        <v>0</v>
      </c>
      <c r="L25" s="75">
        <v>59.485999999999997</v>
      </c>
      <c r="M25" s="75">
        <v>0</v>
      </c>
      <c r="N25" s="75">
        <v>59.485999999999997</v>
      </c>
      <c r="O25" s="75">
        <v>137.78</v>
      </c>
      <c r="P25" s="75">
        <f>49.486-1.99</f>
        <v>47.495999999999995</v>
      </c>
      <c r="Q25" s="75">
        <v>11.93</v>
      </c>
      <c r="R25" s="75">
        <v>59.485999999999997</v>
      </c>
      <c r="S25" s="75">
        <v>94.6</v>
      </c>
      <c r="T25" s="75">
        <v>102.21</v>
      </c>
      <c r="U25" s="75">
        <v>102.11</v>
      </c>
      <c r="V25" s="75">
        <v>59.485999999999997</v>
      </c>
      <c r="W25" s="75">
        <v>59.49</v>
      </c>
      <c r="X25" s="75">
        <f>49.49+25</f>
        <v>74.490000000000009</v>
      </c>
      <c r="Y25" s="75">
        <v>74.489999999999995</v>
      </c>
      <c r="Z25" s="75">
        <v>3.58</v>
      </c>
      <c r="AA25" s="75">
        <v>3.58</v>
      </c>
      <c r="AB25" s="75">
        <v>69.486000000000004</v>
      </c>
      <c r="AC25" s="75">
        <v>69.489999999999995</v>
      </c>
      <c r="AD25" s="75">
        <v>69.486000000000004</v>
      </c>
      <c r="AE25" s="75">
        <v>69.489999999999995</v>
      </c>
      <c r="AF25" s="75">
        <f>19.66+79.554-49.49</f>
        <v>49.723999999999997</v>
      </c>
      <c r="AG25" s="75">
        <v>90.84</v>
      </c>
      <c r="AH25" s="66"/>
      <c r="AI25" s="78"/>
    </row>
    <row r="26" spans="1:35" s="61" customFormat="1" ht="33" customHeight="1" x14ac:dyDescent="0.25">
      <c r="A26" s="89"/>
      <c r="B26" s="88"/>
      <c r="C26" s="50" t="s">
        <v>31</v>
      </c>
      <c r="D26" s="51">
        <f>SUM(J26,L26,N26,P26,R26,T26,V26,X26,Z26,AB26,AD26,AF26)</f>
        <v>11.798</v>
      </c>
      <c r="E26" s="65">
        <f t="shared" si="26"/>
        <v>11.798</v>
      </c>
      <c r="F26" s="65">
        <f>G26</f>
        <v>11.8</v>
      </c>
      <c r="G26" s="65">
        <f>SUM(K26,M26,O26,Q26,S26,U26,W26,Y26,AA26,AC26,AE26,AG26)</f>
        <v>11.8</v>
      </c>
      <c r="H26" s="65">
        <f>IFERROR(G26/D26*100,0)</f>
        <v>100.01695202576708</v>
      </c>
      <c r="I26" s="65">
        <f>IFERROR(G26/E26*100,0)</f>
        <v>100.01695202576708</v>
      </c>
      <c r="J26" s="75">
        <v>0.98599999999999999</v>
      </c>
      <c r="K26" s="75">
        <v>0</v>
      </c>
      <c r="L26" s="75">
        <v>0.98599999999999999</v>
      </c>
      <c r="M26" s="75">
        <v>0</v>
      </c>
      <c r="N26" s="75">
        <v>0.98599999999999999</v>
      </c>
      <c r="O26" s="75">
        <v>2.27</v>
      </c>
      <c r="P26" s="75">
        <v>0.98599999999999999</v>
      </c>
      <c r="Q26" s="75">
        <v>0.21</v>
      </c>
      <c r="R26" s="75">
        <v>0.98599999999999999</v>
      </c>
      <c r="S26" s="75">
        <v>1.56</v>
      </c>
      <c r="T26" s="75">
        <f>1.78+0.886</f>
        <v>2.6659999999999999</v>
      </c>
      <c r="U26" s="75">
        <v>1.69</v>
      </c>
      <c r="V26" s="75">
        <v>0.13</v>
      </c>
      <c r="W26" s="75">
        <v>0.99</v>
      </c>
      <c r="X26" s="75">
        <v>0.98599999999999999</v>
      </c>
      <c r="Y26" s="75">
        <v>0.99</v>
      </c>
      <c r="Z26" s="75">
        <f>0.9+0.19</f>
        <v>1.0900000000000001</v>
      </c>
      <c r="AA26" s="75">
        <v>1.0900000000000001</v>
      </c>
      <c r="AB26" s="75">
        <v>0.89</v>
      </c>
      <c r="AC26" s="75">
        <v>0.22</v>
      </c>
      <c r="AD26" s="75">
        <v>0.98599999999999999</v>
      </c>
      <c r="AE26" s="75">
        <v>0.99</v>
      </c>
      <c r="AF26" s="75">
        <v>0.12</v>
      </c>
      <c r="AG26" s="75">
        <v>1.79</v>
      </c>
      <c r="AH26" s="66"/>
      <c r="AI26" s="78"/>
    </row>
    <row r="27" spans="1:35" s="61" customFormat="1" ht="78.75" customHeight="1" x14ac:dyDescent="0.25">
      <c r="A27" s="69"/>
      <c r="B27" s="90" t="s">
        <v>42</v>
      </c>
      <c r="C27" s="64" t="s">
        <v>28</v>
      </c>
      <c r="D27" s="44">
        <f>D29+D28</f>
        <v>98566.799999999988</v>
      </c>
      <c r="E27" s="80">
        <f t="shared" ref="E27:G27" si="27">E29+E28</f>
        <v>98566.799999999988</v>
      </c>
      <c r="F27" s="80">
        <f t="shared" si="27"/>
        <v>98424.6</v>
      </c>
      <c r="G27" s="80">
        <f t="shared" si="27"/>
        <v>98424.6</v>
      </c>
      <c r="H27" s="80">
        <f t="shared" ref="H27" si="28">IFERROR(G27/D27*100,0)</f>
        <v>99.855732356128044</v>
      </c>
      <c r="I27" s="80">
        <f t="shared" ref="I27" si="29">IFERROR(G27/E27*100,0)</f>
        <v>99.855732356128044</v>
      </c>
      <c r="J27" s="81">
        <f>J29+J28</f>
        <v>8983.7999999999993</v>
      </c>
      <c r="K27" s="81">
        <f t="shared" ref="K27:AG27" si="30">K29+K28</f>
        <v>0</v>
      </c>
      <c r="L27" s="81">
        <f t="shared" si="30"/>
        <v>8983.7999999999993</v>
      </c>
      <c r="M27" s="81">
        <f t="shared" si="30"/>
        <v>0</v>
      </c>
      <c r="N27" s="81">
        <f t="shared" si="30"/>
        <v>8983.7999999999993</v>
      </c>
      <c r="O27" s="81">
        <f t="shared" si="30"/>
        <v>19445.669999999998</v>
      </c>
      <c r="P27" s="81">
        <f t="shared" si="30"/>
        <v>7800</v>
      </c>
      <c r="Q27" s="81">
        <f t="shared" si="30"/>
        <v>7708.8</v>
      </c>
      <c r="R27" s="81">
        <f t="shared" si="30"/>
        <v>23786.14</v>
      </c>
      <c r="S27" s="81">
        <f t="shared" si="30"/>
        <v>27154.47</v>
      </c>
      <c r="T27" s="81">
        <f t="shared" si="30"/>
        <v>8000</v>
      </c>
      <c r="U27" s="81">
        <f t="shared" si="30"/>
        <v>7973.23</v>
      </c>
      <c r="V27" s="81">
        <f t="shared" si="30"/>
        <v>1983.8</v>
      </c>
      <c r="W27" s="81">
        <f t="shared" si="30"/>
        <v>1983.8</v>
      </c>
      <c r="X27" s="81">
        <f t="shared" si="30"/>
        <v>5272.6099999999988</v>
      </c>
      <c r="Y27" s="81">
        <f t="shared" si="30"/>
        <v>4000</v>
      </c>
      <c r="Z27" s="81">
        <f t="shared" si="30"/>
        <v>5983.82</v>
      </c>
      <c r="AA27" s="81">
        <f t="shared" si="30"/>
        <v>5742.25</v>
      </c>
      <c r="AB27" s="81">
        <f t="shared" si="30"/>
        <v>8200</v>
      </c>
      <c r="AC27" s="81">
        <f t="shared" si="30"/>
        <v>8179.22</v>
      </c>
      <c r="AD27" s="81">
        <f t="shared" si="30"/>
        <v>10000</v>
      </c>
      <c r="AE27" s="81">
        <f t="shared" si="30"/>
        <v>10000</v>
      </c>
      <c r="AF27" s="81">
        <f t="shared" si="30"/>
        <v>589.03</v>
      </c>
      <c r="AG27" s="81">
        <f t="shared" si="30"/>
        <v>6237.16</v>
      </c>
      <c r="AH27" s="66" t="s">
        <v>41</v>
      </c>
      <c r="AI27" s="78"/>
    </row>
    <row r="28" spans="1:35" s="61" customFormat="1" ht="27" hidden="1" customHeight="1" x14ac:dyDescent="0.25">
      <c r="A28" s="69"/>
      <c r="B28" s="90"/>
      <c r="C28" s="71" t="s">
        <v>30</v>
      </c>
      <c r="D28" s="51">
        <f>SUM(J28,L28,N28,P28,R28,T28,V28,X28,Z28,AB28,AD28,AF28)</f>
        <v>0</v>
      </c>
      <c r="E28" s="65">
        <f>J28</f>
        <v>0</v>
      </c>
      <c r="F28" s="65">
        <f>G28</f>
        <v>0</v>
      </c>
      <c r="G28" s="65">
        <f>SUM(K28,M28,O28,Q28,S28,U28,W28,Y28,AA28,AC28,AE28,AG28)</f>
        <v>0</v>
      </c>
      <c r="H28" s="65">
        <f>IFERROR(G28/D28*100,0)</f>
        <v>0</v>
      </c>
      <c r="I28" s="65">
        <f>IFERROR(G28/E28*100,0)</f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66"/>
      <c r="AI28" s="78"/>
    </row>
    <row r="29" spans="1:35" s="61" customFormat="1" ht="112.5" customHeight="1" x14ac:dyDescent="0.25">
      <c r="A29" s="76"/>
      <c r="B29" s="90"/>
      <c r="C29" s="71" t="s">
        <v>29</v>
      </c>
      <c r="D29" s="51">
        <f>SUM(J29,L29,N29,P29,R29,T29,V29,X29,Z29,AB29,AD29,AF29)</f>
        <v>98566.799999999988</v>
      </c>
      <c r="E29" s="65">
        <f>J29+L29+N29+P29+R29+T29+V29+X29+Z29+AB29+AD29+AF29</f>
        <v>98566.799999999988</v>
      </c>
      <c r="F29" s="65">
        <f>G29</f>
        <v>98424.6</v>
      </c>
      <c r="G29" s="65">
        <f>SUM(K29,M29,O29,Q29,S29,U29,W29,Y29,AA29,AC29,AE29,AG29)</f>
        <v>98424.6</v>
      </c>
      <c r="H29" s="65">
        <f>IFERROR(G29/D29*100,0)</f>
        <v>99.855732356128044</v>
      </c>
      <c r="I29" s="65">
        <f>IFERROR(G29/E29*100,0)</f>
        <v>99.855732356128044</v>
      </c>
      <c r="J29" s="75">
        <v>8983.7999999999993</v>
      </c>
      <c r="K29" s="75">
        <v>0</v>
      </c>
      <c r="L29" s="75">
        <v>8983.7999999999993</v>
      </c>
      <c r="M29" s="75">
        <v>0</v>
      </c>
      <c r="N29" s="75">
        <v>8983.7999999999993</v>
      </c>
      <c r="O29" s="75">
        <v>19445.669999999998</v>
      </c>
      <c r="P29" s="75">
        <v>7800</v>
      </c>
      <c r="Q29" s="75">
        <v>7708.8</v>
      </c>
      <c r="R29" s="75">
        <f>14802.26+8983.88</f>
        <v>23786.14</v>
      </c>
      <c r="S29" s="75">
        <v>27154.47</v>
      </c>
      <c r="T29" s="75">
        <v>8000</v>
      </c>
      <c r="U29" s="75">
        <v>7973.23</v>
      </c>
      <c r="V29" s="75">
        <v>1983.8</v>
      </c>
      <c r="W29" s="75">
        <v>1983.8</v>
      </c>
      <c r="X29" s="75">
        <f>8983.8-802.26-2908.93</f>
        <v>5272.6099999999988</v>
      </c>
      <c r="Y29" s="75">
        <v>4000</v>
      </c>
      <c r="Z29" s="75">
        <v>5983.82</v>
      </c>
      <c r="AA29" s="75">
        <v>5742.25</v>
      </c>
      <c r="AB29" s="75">
        <v>8200</v>
      </c>
      <c r="AC29" s="75">
        <v>8179.22</v>
      </c>
      <c r="AD29" s="75">
        <v>10000</v>
      </c>
      <c r="AE29" s="75">
        <v>10000</v>
      </c>
      <c r="AF29" s="75">
        <v>589.03</v>
      </c>
      <c r="AG29" s="75">
        <v>6237.16</v>
      </c>
      <c r="AH29" s="66"/>
      <c r="AI29" s="78"/>
    </row>
    <row r="30" spans="1:35" s="61" customFormat="1" ht="63.75" customHeight="1" x14ac:dyDescent="0.25">
      <c r="A30" s="91"/>
      <c r="B30" s="86" t="s">
        <v>43</v>
      </c>
      <c r="C30" s="64" t="s">
        <v>28</v>
      </c>
      <c r="D30" s="44">
        <f>D32+D31</f>
        <v>923.69999999999993</v>
      </c>
      <c r="E30" s="80">
        <f t="shared" ref="E30:G30" si="31">E32+E31</f>
        <v>923.69999999999993</v>
      </c>
      <c r="F30" s="80">
        <f t="shared" si="31"/>
        <v>900.49999999999989</v>
      </c>
      <c r="G30" s="80">
        <f t="shared" si="31"/>
        <v>900.49999999999989</v>
      </c>
      <c r="H30" s="80">
        <f t="shared" ref="H30" si="32">IFERROR(G30/D30*100,0)</f>
        <v>97.488362022301615</v>
      </c>
      <c r="I30" s="80">
        <f t="shared" ref="I30" si="33">IFERROR(G30/E30*100,0)</f>
        <v>97.488362022301615</v>
      </c>
      <c r="J30" s="81">
        <f>J32+J31</f>
        <v>91.14</v>
      </c>
      <c r="K30" s="81">
        <f t="shared" ref="K30:AG30" si="34">K32+K31</f>
        <v>0</v>
      </c>
      <c r="L30" s="81">
        <f t="shared" si="34"/>
        <v>91.14</v>
      </c>
      <c r="M30" s="81">
        <f t="shared" si="34"/>
        <v>0</v>
      </c>
      <c r="N30" s="81">
        <f t="shared" si="34"/>
        <v>91.14</v>
      </c>
      <c r="O30" s="81">
        <f t="shared" si="34"/>
        <v>240</v>
      </c>
      <c r="P30" s="81">
        <f t="shared" si="34"/>
        <v>80</v>
      </c>
      <c r="Q30" s="81">
        <f t="shared" si="34"/>
        <v>79.599999999999994</v>
      </c>
      <c r="R30" s="81">
        <f t="shared" si="34"/>
        <v>91.14</v>
      </c>
      <c r="S30" s="81">
        <f t="shared" si="34"/>
        <v>121.28</v>
      </c>
      <c r="T30" s="81">
        <f t="shared" si="34"/>
        <v>108</v>
      </c>
      <c r="U30" s="81">
        <f t="shared" si="34"/>
        <v>107.42</v>
      </c>
      <c r="V30" s="81">
        <f t="shared" si="34"/>
        <v>0</v>
      </c>
      <c r="W30" s="81">
        <f t="shared" si="34"/>
        <v>0</v>
      </c>
      <c r="X30" s="81">
        <f t="shared" si="34"/>
        <v>39.520000000000003</v>
      </c>
      <c r="Y30" s="81">
        <f t="shared" si="34"/>
        <v>39.520000000000003</v>
      </c>
      <c r="Z30" s="81">
        <f t="shared" si="34"/>
        <v>70</v>
      </c>
      <c r="AA30" s="81">
        <f t="shared" si="34"/>
        <v>69.91</v>
      </c>
      <c r="AB30" s="81">
        <f t="shared" si="34"/>
        <v>81</v>
      </c>
      <c r="AC30" s="81">
        <f t="shared" si="34"/>
        <v>80.83</v>
      </c>
      <c r="AD30" s="81">
        <f t="shared" si="34"/>
        <v>91.14</v>
      </c>
      <c r="AE30" s="81">
        <f t="shared" si="34"/>
        <v>91.14</v>
      </c>
      <c r="AF30" s="81">
        <f t="shared" si="34"/>
        <v>89.48</v>
      </c>
      <c r="AG30" s="81">
        <f t="shared" si="34"/>
        <v>70.8</v>
      </c>
      <c r="AH30" s="66" t="s">
        <v>41</v>
      </c>
      <c r="AI30" s="78"/>
    </row>
    <row r="31" spans="1:35" s="61" customFormat="1" ht="96.75" customHeight="1" x14ac:dyDescent="0.25">
      <c r="A31" s="89"/>
      <c r="B31" s="88"/>
      <c r="C31" s="71" t="s">
        <v>29</v>
      </c>
      <c r="D31" s="51">
        <f>SUM(J31,L31,N31,P31,R31,T31,V31,X31,Z31,AB31,AD31,AF31)</f>
        <v>923.69999999999993</v>
      </c>
      <c r="E31" s="65">
        <f>J31+L31+N31+P31+R31+T31+V31+X31+Z31+AB31+AD31+AF31</f>
        <v>923.69999999999993</v>
      </c>
      <c r="F31" s="65">
        <f>G31</f>
        <v>900.49999999999989</v>
      </c>
      <c r="G31" s="65">
        <f>SUM(K31,M31,O31,Q31,S31,U31,W31,Y31,AA31,AC31,AE31,AG31)</f>
        <v>900.49999999999989</v>
      </c>
      <c r="H31" s="65">
        <f>IFERROR(G31/D31*100,0)</f>
        <v>97.488362022301615</v>
      </c>
      <c r="I31" s="65">
        <f>IFERROR(G31/E31*100,0)</f>
        <v>97.488362022301615</v>
      </c>
      <c r="J31" s="75">
        <v>91.14</v>
      </c>
      <c r="K31" s="75">
        <v>0</v>
      </c>
      <c r="L31" s="75">
        <v>91.14</v>
      </c>
      <c r="M31" s="75">
        <v>0</v>
      </c>
      <c r="N31" s="75">
        <v>91.14</v>
      </c>
      <c r="O31" s="75">
        <v>240</v>
      </c>
      <c r="P31" s="75">
        <v>80</v>
      </c>
      <c r="Q31" s="75">
        <v>79.599999999999994</v>
      </c>
      <c r="R31" s="75">
        <v>91.14</v>
      </c>
      <c r="S31" s="75">
        <v>121.28</v>
      </c>
      <c r="T31" s="75">
        <v>108</v>
      </c>
      <c r="U31" s="75">
        <v>107.42</v>
      </c>
      <c r="V31" s="75">
        <v>0</v>
      </c>
      <c r="W31" s="75">
        <v>0</v>
      </c>
      <c r="X31" s="75">
        <v>39.520000000000003</v>
      </c>
      <c r="Y31" s="75">
        <v>39.520000000000003</v>
      </c>
      <c r="Z31" s="75">
        <v>70</v>
      </c>
      <c r="AA31" s="75">
        <v>69.91</v>
      </c>
      <c r="AB31" s="75">
        <v>81</v>
      </c>
      <c r="AC31" s="75">
        <v>80.83</v>
      </c>
      <c r="AD31" s="75">
        <v>91.14</v>
      </c>
      <c r="AE31" s="75">
        <v>91.14</v>
      </c>
      <c r="AF31" s="75">
        <f>18.48+71</f>
        <v>89.48</v>
      </c>
      <c r="AG31" s="75">
        <v>70.8</v>
      </c>
      <c r="AH31" s="75"/>
      <c r="AI31" s="78"/>
    </row>
    <row r="32" spans="1:35" s="61" customFormat="1" ht="12" hidden="1" customHeight="1" x14ac:dyDescent="0.25">
      <c r="A32" s="92"/>
      <c r="B32" s="88"/>
      <c r="C32" s="93" t="s">
        <v>31</v>
      </c>
      <c r="D32" s="94">
        <f>SUM(J32,L32,N32,P32,R32,T32,V32,X32,Z32,AB32,AD32,AF32)</f>
        <v>0</v>
      </c>
      <c r="E32" s="95">
        <f>J32</f>
        <v>0</v>
      </c>
      <c r="F32" s="95">
        <f>G32</f>
        <v>0</v>
      </c>
      <c r="G32" s="95">
        <f>SUM(K32,M32,O32,Q32,S32,U32,W32,Y32,AA32,AC32,AE32,AG32)</f>
        <v>0</v>
      </c>
      <c r="H32" s="95">
        <f>IFERROR(G32/D32*100,0)</f>
        <v>0</v>
      </c>
      <c r="I32" s="95">
        <f>IFERROR(G32/E32*100,0)</f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0</v>
      </c>
      <c r="S32" s="96">
        <v>0</v>
      </c>
      <c r="T32" s="96">
        <v>0</v>
      </c>
      <c r="U32" s="96">
        <v>0</v>
      </c>
      <c r="V32" s="96">
        <v>0</v>
      </c>
      <c r="W32" s="96">
        <v>0</v>
      </c>
      <c r="X32" s="96">
        <v>0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  <c r="AH32" s="97"/>
      <c r="AI32" s="78"/>
    </row>
    <row r="33" spans="1:35" s="61" customFormat="1" ht="28.5" customHeight="1" x14ac:dyDescent="0.25">
      <c r="A33" s="79" t="s">
        <v>44</v>
      </c>
      <c r="B33" s="63" t="s">
        <v>45</v>
      </c>
      <c r="C33" s="64" t="s">
        <v>28</v>
      </c>
      <c r="D33" s="44">
        <f>D37+D36+D34+D35</f>
        <v>3411738.7809999995</v>
      </c>
      <c r="E33" s="44">
        <f>E37+E36+E34+E35</f>
        <v>3411738.7809999995</v>
      </c>
      <c r="F33" s="44">
        <f t="shared" ref="F33:G33" si="35">F37+F36+F34+F35</f>
        <v>3366128.8990000002</v>
      </c>
      <c r="G33" s="44">
        <f t="shared" si="35"/>
        <v>3366128.8990000002</v>
      </c>
      <c r="H33" s="80">
        <f t="shared" ref="H33:H35" si="36">IFERROR(G33/D33*100,0)</f>
        <v>98.663148472737689</v>
      </c>
      <c r="I33" s="80">
        <f t="shared" ref="I33:I35" si="37">IFERROR(G33/E33*100,0)</f>
        <v>98.663148472737689</v>
      </c>
      <c r="J33" s="81">
        <f>J37+J36+J34+J35</f>
        <v>306156.929</v>
      </c>
      <c r="K33" s="81">
        <f t="shared" ref="K33:AG33" si="38">K37+K36+K34+K35</f>
        <v>117626.914</v>
      </c>
      <c r="L33" s="81">
        <f t="shared" si="38"/>
        <v>437852.69800000003</v>
      </c>
      <c r="M33" s="81">
        <f t="shared" si="38"/>
        <v>159963.647</v>
      </c>
      <c r="N33" s="81">
        <f t="shared" si="38"/>
        <v>355650.79600000003</v>
      </c>
      <c r="O33" s="81">
        <f t="shared" si="38"/>
        <v>443550.96</v>
      </c>
      <c r="P33" s="81">
        <f t="shared" si="38"/>
        <v>312108.83400000003</v>
      </c>
      <c r="Q33" s="81">
        <f t="shared" si="38"/>
        <v>408916.74</v>
      </c>
      <c r="R33" s="81">
        <f t="shared" si="38"/>
        <v>197793.807</v>
      </c>
      <c r="S33" s="81">
        <f t="shared" si="38"/>
        <v>249075.71999999997</v>
      </c>
      <c r="T33" s="81">
        <f t="shared" si="38"/>
        <v>286676.88999999996</v>
      </c>
      <c r="U33" s="81">
        <f t="shared" si="38"/>
        <v>464611.82999999996</v>
      </c>
      <c r="V33" s="81">
        <f t="shared" si="38"/>
        <v>453336.69300000003</v>
      </c>
      <c r="W33" s="81">
        <f t="shared" si="38"/>
        <v>450444.88</v>
      </c>
      <c r="X33" s="81">
        <f t="shared" si="38"/>
        <v>134905.50099999999</v>
      </c>
      <c r="Y33" s="81">
        <f t="shared" si="38"/>
        <v>96016.84</v>
      </c>
      <c r="Z33" s="81">
        <f t="shared" si="38"/>
        <v>191333.2</v>
      </c>
      <c r="AA33" s="81">
        <f t="shared" si="38"/>
        <v>164324.731</v>
      </c>
      <c r="AB33" s="81">
        <f t="shared" si="38"/>
        <v>340032.09500000003</v>
      </c>
      <c r="AC33" s="81">
        <f t="shared" si="38"/>
        <v>154036.34000000003</v>
      </c>
      <c r="AD33" s="81">
        <f t="shared" si="38"/>
        <v>213638.73600000003</v>
      </c>
      <c r="AE33" s="81">
        <f t="shared" si="38"/>
        <v>209180.97700000001</v>
      </c>
      <c r="AF33" s="81">
        <f t="shared" si="38"/>
        <v>182252.60200000001</v>
      </c>
      <c r="AG33" s="81">
        <f t="shared" si="38"/>
        <v>448379.32</v>
      </c>
      <c r="AH33" s="66" t="s">
        <v>41</v>
      </c>
      <c r="AI33" s="78"/>
    </row>
    <row r="34" spans="1:35" s="61" customFormat="1" ht="28.5" customHeight="1" x14ac:dyDescent="0.25">
      <c r="A34" s="82"/>
      <c r="B34" s="70"/>
      <c r="C34" s="71" t="s">
        <v>29</v>
      </c>
      <c r="D34" s="51">
        <f>SUM(J34,L34,N34,P34,R34,T34,V34,X34,Z34,AB34,AD34,AF34)</f>
        <v>20651.996000000003</v>
      </c>
      <c r="E34" s="51">
        <f>J34+L34+N34+P34+R34+T34+V34+X34+Z34+AB34+AD34+AF34</f>
        <v>20651.996000000003</v>
      </c>
      <c r="F34" s="51">
        <f t="shared" ref="F34:F35" si="39">G34</f>
        <v>19884.305</v>
      </c>
      <c r="G34" s="51">
        <f t="shared" ref="G34:G35" si="40">SUM(K34,M34,O34,Q34,S34,U34,W34,Y34,AA34,AC34,AE34,AG34)</f>
        <v>19884.305</v>
      </c>
      <c r="H34" s="51">
        <f t="shared" si="36"/>
        <v>96.282727345095353</v>
      </c>
      <c r="I34" s="51">
        <f t="shared" si="37"/>
        <v>96.282727345095353</v>
      </c>
      <c r="J34" s="75">
        <f>J68</f>
        <v>0</v>
      </c>
      <c r="K34" s="75">
        <f>K68</f>
        <v>0</v>
      </c>
      <c r="L34" s="75">
        <f t="shared" ref="L34:AG34" si="41">L68</f>
        <v>2950.25</v>
      </c>
      <c r="M34" s="75">
        <f t="shared" si="41"/>
        <v>2950.25</v>
      </c>
      <c r="N34" s="75">
        <f t="shared" si="41"/>
        <v>2582.19</v>
      </c>
      <c r="O34" s="75">
        <f t="shared" si="41"/>
        <v>2582.19</v>
      </c>
      <c r="P34" s="75">
        <f t="shared" si="41"/>
        <v>2701.1570000000002</v>
      </c>
      <c r="Q34" s="75">
        <f t="shared" si="41"/>
        <v>2189.46</v>
      </c>
      <c r="R34" s="75">
        <f t="shared" si="41"/>
        <v>1562.4680000000001</v>
      </c>
      <c r="S34" s="75">
        <f>S68</f>
        <v>2299.88</v>
      </c>
      <c r="T34" s="75">
        <f t="shared" si="41"/>
        <v>1021.645</v>
      </c>
      <c r="U34" s="75">
        <f t="shared" si="41"/>
        <v>795.93</v>
      </c>
      <c r="V34" s="75">
        <f t="shared" si="41"/>
        <v>0</v>
      </c>
      <c r="W34" s="75">
        <f t="shared" si="41"/>
        <v>0</v>
      </c>
      <c r="X34" s="75">
        <f t="shared" si="41"/>
        <v>0</v>
      </c>
      <c r="Y34" s="75">
        <f t="shared" si="41"/>
        <v>0</v>
      </c>
      <c r="Z34" s="75">
        <f t="shared" si="41"/>
        <v>1758.44</v>
      </c>
      <c r="AA34" s="75">
        <f t="shared" si="41"/>
        <v>1758.44</v>
      </c>
      <c r="AB34" s="75">
        <f t="shared" si="41"/>
        <v>3911.6309999999999</v>
      </c>
      <c r="AC34" s="75">
        <f t="shared" si="41"/>
        <v>1290.27</v>
      </c>
      <c r="AD34" s="75">
        <f t="shared" si="41"/>
        <v>2831.2150000000001</v>
      </c>
      <c r="AE34" s="75">
        <f t="shared" si="41"/>
        <v>2832.2150000000001</v>
      </c>
      <c r="AF34" s="75">
        <f t="shared" si="41"/>
        <v>1333</v>
      </c>
      <c r="AG34" s="75">
        <f t="shared" si="41"/>
        <v>3185.67</v>
      </c>
      <c r="AH34" s="66"/>
      <c r="AI34" s="78"/>
    </row>
    <row r="35" spans="1:35" s="61" customFormat="1" ht="28.5" customHeight="1" x14ac:dyDescent="0.25">
      <c r="A35" s="82"/>
      <c r="B35" s="70"/>
      <c r="C35" s="71" t="s">
        <v>30</v>
      </c>
      <c r="D35" s="51">
        <f t="shared" ref="D35" si="42">SUM(J35,L35,N35,P35,R35,T35,V35,X35,Z35,AB35,AD35,AF35)</f>
        <v>2667656.0919999997</v>
      </c>
      <c r="E35" s="51">
        <f t="shared" ref="E35:E37" si="43">J35+L35+N35+P35+R35+T35+V35+X35+Z35+AB35+AD35+AF35</f>
        <v>2667656.0919999997</v>
      </c>
      <c r="F35" s="51">
        <f t="shared" si="39"/>
        <v>2654923.699</v>
      </c>
      <c r="G35" s="51">
        <f t="shared" si="40"/>
        <v>2654923.699</v>
      </c>
      <c r="H35" s="51">
        <f t="shared" si="36"/>
        <v>99.522712352683584</v>
      </c>
      <c r="I35" s="51">
        <f t="shared" si="37"/>
        <v>99.522712352683584</v>
      </c>
      <c r="J35" s="75">
        <f t="shared" ref="J35:AG35" si="44">J39+J69</f>
        <v>206387.655</v>
      </c>
      <c r="K35" s="75">
        <f t="shared" si="44"/>
        <v>44274.716</v>
      </c>
      <c r="L35" s="75">
        <f t="shared" si="44"/>
        <v>356087.23200000002</v>
      </c>
      <c r="M35" s="75">
        <f t="shared" si="44"/>
        <v>81316.7</v>
      </c>
      <c r="N35" s="75">
        <f t="shared" si="44"/>
        <v>282000.29600000003</v>
      </c>
      <c r="O35" s="75">
        <f t="shared" si="44"/>
        <v>368818.98000000004</v>
      </c>
      <c r="P35" s="75">
        <f t="shared" si="44"/>
        <v>244820.45600000001</v>
      </c>
      <c r="Q35" s="75">
        <f t="shared" si="44"/>
        <v>340968.76</v>
      </c>
      <c r="R35" s="75">
        <f t="shared" si="44"/>
        <v>133243.51999999999</v>
      </c>
      <c r="S35" s="75">
        <f t="shared" si="44"/>
        <v>183080.58999999997</v>
      </c>
      <c r="T35" s="75">
        <f t="shared" si="44"/>
        <v>227839.75199999998</v>
      </c>
      <c r="U35" s="75">
        <f t="shared" si="44"/>
        <v>407638.1</v>
      </c>
      <c r="V35" s="75">
        <f t="shared" si="44"/>
        <v>387096.41100000002</v>
      </c>
      <c r="W35" s="75">
        <f t="shared" si="44"/>
        <v>385436.07</v>
      </c>
      <c r="X35" s="75">
        <f t="shared" si="44"/>
        <v>103924.36599999999</v>
      </c>
      <c r="Y35" s="75">
        <f t="shared" si="44"/>
        <v>65035.7</v>
      </c>
      <c r="Z35" s="75">
        <f t="shared" si="44"/>
        <v>149481.837</v>
      </c>
      <c r="AA35" s="75">
        <f t="shared" si="44"/>
        <v>129169.671</v>
      </c>
      <c r="AB35" s="75">
        <f t="shared" si="44"/>
        <v>284789.66200000001</v>
      </c>
      <c r="AC35" s="75">
        <f t="shared" si="44"/>
        <v>75221.97</v>
      </c>
      <c r="AD35" s="75">
        <f t="shared" si="44"/>
        <v>151930.36300000001</v>
      </c>
      <c r="AE35" s="75">
        <f t="shared" si="44"/>
        <v>151930.11199999999</v>
      </c>
      <c r="AF35" s="75">
        <f t="shared" si="44"/>
        <v>140054.54200000002</v>
      </c>
      <c r="AG35" s="75">
        <f t="shared" si="44"/>
        <v>422032.33</v>
      </c>
      <c r="AH35" s="66"/>
      <c r="AI35" s="78"/>
    </row>
    <row r="36" spans="1:35" s="53" customFormat="1" ht="45" customHeight="1" x14ac:dyDescent="0.25">
      <c r="A36" s="82"/>
      <c r="B36" s="70"/>
      <c r="C36" s="50" t="s">
        <v>31</v>
      </c>
      <c r="D36" s="51">
        <f>SUM(J36,L36,N36,P36,R36,T36,V36,X36,Z36,AB36,AD36,AF36)</f>
        <v>597896.02399999998</v>
      </c>
      <c r="E36" s="51">
        <f t="shared" si="43"/>
        <v>597896.02399999998</v>
      </c>
      <c r="F36" s="51">
        <f>G36</f>
        <v>581115.397</v>
      </c>
      <c r="G36" s="51">
        <f>SUM(K36,M36,O36,Q36,S36,U36,W36,Y36,AA36,AC36,AE36,AG36)</f>
        <v>581115.397</v>
      </c>
      <c r="H36" s="51">
        <f>IFERROR(G36/D36*100,0)</f>
        <v>97.193387089658927</v>
      </c>
      <c r="I36" s="51">
        <f>IFERROR(G36/E36*100,0)</f>
        <v>97.193387089658927</v>
      </c>
      <c r="J36" s="83">
        <f t="shared" ref="J36:AG36" si="45">J40+J62+J70</f>
        <v>68407.093999999997</v>
      </c>
      <c r="K36" s="83">
        <f t="shared" si="45"/>
        <v>67633.275999999998</v>
      </c>
      <c r="L36" s="83">
        <f t="shared" si="45"/>
        <v>64923.885999999999</v>
      </c>
      <c r="M36" s="83">
        <f t="shared" si="45"/>
        <v>64481.410999999993</v>
      </c>
      <c r="N36" s="83">
        <f t="shared" si="45"/>
        <v>60169.048999999999</v>
      </c>
      <c r="O36" s="83">
        <f t="shared" si="45"/>
        <v>60874.889999999992</v>
      </c>
      <c r="P36" s="83">
        <f t="shared" si="45"/>
        <v>54882.752999999997</v>
      </c>
      <c r="Q36" s="83">
        <f t="shared" si="45"/>
        <v>55191.46</v>
      </c>
      <c r="R36" s="83">
        <f t="shared" si="45"/>
        <v>54256.466</v>
      </c>
      <c r="S36" s="83">
        <f t="shared" si="45"/>
        <v>54555.519999999997</v>
      </c>
      <c r="T36" s="83">
        <f t="shared" si="45"/>
        <v>49373.814999999995</v>
      </c>
      <c r="U36" s="83">
        <f t="shared" si="45"/>
        <v>50088.659999999996</v>
      </c>
      <c r="V36" s="83">
        <f t="shared" si="45"/>
        <v>60074.81</v>
      </c>
      <c r="W36" s="83">
        <f t="shared" si="45"/>
        <v>60008.81</v>
      </c>
      <c r="X36" s="83">
        <f t="shared" si="45"/>
        <v>25008.82</v>
      </c>
      <c r="Y36" s="83">
        <f t="shared" si="45"/>
        <v>25008.82</v>
      </c>
      <c r="Z36" s="83">
        <f t="shared" si="45"/>
        <v>30160.091999999997</v>
      </c>
      <c r="AA36" s="83">
        <f t="shared" si="45"/>
        <v>26232.55</v>
      </c>
      <c r="AB36" s="83">
        <f t="shared" si="45"/>
        <v>44446.182000000008</v>
      </c>
      <c r="AC36" s="83">
        <f t="shared" si="45"/>
        <v>52003.39</v>
      </c>
      <c r="AD36" s="83">
        <f t="shared" si="45"/>
        <v>52887.477000000006</v>
      </c>
      <c r="AE36" s="83">
        <f t="shared" si="45"/>
        <v>48828.959999999999</v>
      </c>
      <c r="AF36" s="83">
        <f t="shared" si="45"/>
        <v>33305.58</v>
      </c>
      <c r="AG36" s="83">
        <f t="shared" si="45"/>
        <v>16207.650000000001</v>
      </c>
      <c r="AH36" s="46"/>
      <c r="AI36" s="84"/>
    </row>
    <row r="37" spans="1:35" s="53" customFormat="1" ht="31.5" customHeight="1" x14ac:dyDescent="0.25">
      <c r="A37" s="69"/>
      <c r="B37" s="70"/>
      <c r="C37" s="50" t="s">
        <v>32</v>
      </c>
      <c r="D37" s="51">
        <f>SUM(J37,L37,N37,P37,R37,T37,V37,X37,Z37,AB37,AD37,AF37)</f>
        <v>125534.66899999999</v>
      </c>
      <c r="E37" s="51">
        <f t="shared" si="43"/>
        <v>125534.66899999999</v>
      </c>
      <c r="F37" s="51">
        <f>G37</f>
        <v>110205.49800000001</v>
      </c>
      <c r="G37" s="51">
        <f>SUM(K37,M37,O37,Q37,S37,U37,W37,Y37,AA37,AC37,AE37,AG37)</f>
        <v>110205.49800000001</v>
      </c>
      <c r="H37" s="51">
        <f>IFERROR(G37/D37*100,0)</f>
        <v>87.788894396973333</v>
      </c>
      <c r="I37" s="51">
        <f>IFERROR(G37/E37*100,0)</f>
        <v>87.788894396973333</v>
      </c>
      <c r="J37" s="83">
        <f>J41</f>
        <v>31362.18</v>
      </c>
      <c r="K37" s="83">
        <f>K41</f>
        <v>5718.9219999999996</v>
      </c>
      <c r="L37" s="83">
        <f t="shared" ref="L37:AG37" si="46">L41</f>
        <v>13891.33</v>
      </c>
      <c r="M37" s="83">
        <f t="shared" si="46"/>
        <v>11215.286</v>
      </c>
      <c r="N37" s="83">
        <f t="shared" si="46"/>
        <v>10899.261</v>
      </c>
      <c r="O37" s="83">
        <f t="shared" si="46"/>
        <v>11274.9</v>
      </c>
      <c r="P37" s="83">
        <f t="shared" si="46"/>
        <v>9704.4680000000008</v>
      </c>
      <c r="Q37" s="83">
        <f t="shared" si="46"/>
        <v>10567.06</v>
      </c>
      <c r="R37" s="83">
        <f t="shared" si="46"/>
        <v>8731.3529999999992</v>
      </c>
      <c r="S37" s="83">
        <f t="shared" si="46"/>
        <v>9139.73</v>
      </c>
      <c r="T37" s="83">
        <f t="shared" si="46"/>
        <v>8441.6779999999999</v>
      </c>
      <c r="U37" s="83">
        <f t="shared" si="46"/>
        <v>6089.14</v>
      </c>
      <c r="V37" s="83">
        <f t="shared" si="46"/>
        <v>6165.4719999999998</v>
      </c>
      <c r="W37" s="83">
        <f t="shared" si="46"/>
        <v>5000</v>
      </c>
      <c r="X37" s="83">
        <f t="shared" si="46"/>
        <v>5972.3149999999996</v>
      </c>
      <c r="Y37" s="83">
        <f t="shared" si="46"/>
        <v>5972.32</v>
      </c>
      <c r="Z37" s="83">
        <f t="shared" si="46"/>
        <v>9932.8310000000001</v>
      </c>
      <c r="AA37" s="83">
        <f t="shared" si="46"/>
        <v>7164.07</v>
      </c>
      <c r="AB37" s="83">
        <f t="shared" si="46"/>
        <v>6884.62</v>
      </c>
      <c r="AC37" s="83">
        <f t="shared" si="46"/>
        <v>25520.71</v>
      </c>
      <c r="AD37" s="83">
        <f t="shared" si="46"/>
        <v>5989.6809999999996</v>
      </c>
      <c r="AE37" s="83">
        <f t="shared" si="46"/>
        <v>5589.69</v>
      </c>
      <c r="AF37" s="83">
        <f t="shared" si="46"/>
        <v>7559.48</v>
      </c>
      <c r="AG37" s="83">
        <f t="shared" si="46"/>
        <v>6953.67</v>
      </c>
      <c r="AH37" s="46"/>
      <c r="AI37" s="84"/>
    </row>
    <row r="38" spans="1:35" s="61" customFormat="1" ht="37.5" customHeight="1" x14ac:dyDescent="0.25">
      <c r="A38" s="85"/>
      <c r="B38" s="98" t="s">
        <v>46</v>
      </c>
      <c r="C38" s="64" t="s">
        <v>28</v>
      </c>
      <c r="D38" s="44">
        <f>D41+D40</f>
        <v>687293.38900000008</v>
      </c>
      <c r="E38" s="80">
        <f t="shared" ref="E38:G38" si="47">E41+E40</f>
        <v>687293.38900000008</v>
      </c>
      <c r="F38" s="80">
        <f t="shared" si="47"/>
        <v>668494.39899999998</v>
      </c>
      <c r="G38" s="80">
        <f t="shared" si="47"/>
        <v>668494.39899999998</v>
      </c>
      <c r="H38" s="80">
        <f t="shared" ref="H38" si="48">IFERROR(G38/D38*100,0)</f>
        <v>97.264779452141639</v>
      </c>
      <c r="I38" s="80">
        <f t="shared" ref="I38" si="49">IFERROR(G38/E38*100,0)</f>
        <v>97.264779452141639</v>
      </c>
      <c r="J38" s="81">
        <f>J41+J40</f>
        <v>97073.19200000001</v>
      </c>
      <c r="K38" s="81">
        <f t="shared" ref="K38:AG38" si="50">K41+K40</f>
        <v>71429.932000000001</v>
      </c>
      <c r="L38" s="81">
        <f t="shared" si="50"/>
        <v>73891.33</v>
      </c>
      <c r="M38" s="81">
        <f t="shared" si="50"/>
        <v>70823.536999999997</v>
      </c>
      <c r="N38" s="81">
        <f t="shared" si="50"/>
        <v>67103.057000000001</v>
      </c>
      <c r="O38" s="81">
        <f t="shared" si="50"/>
        <v>67485</v>
      </c>
      <c r="P38" s="81">
        <f t="shared" si="50"/>
        <v>60190.091</v>
      </c>
      <c r="Q38" s="81">
        <f t="shared" si="50"/>
        <v>61802.2</v>
      </c>
      <c r="R38" s="81">
        <f t="shared" si="50"/>
        <v>58904.614000000001</v>
      </c>
      <c r="S38" s="81">
        <f t="shared" si="50"/>
        <v>59763.929999999993</v>
      </c>
      <c r="T38" s="81">
        <f t="shared" si="50"/>
        <v>56173.424999999996</v>
      </c>
      <c r="U38" s="81">
        <f t="shared" si="50"/>
        <v>53852.04</v>
      </c>
      <c r="V38" s="81">
        <f t="shared" si="50"/>
        <v>66165.471999999994</v>
      </c>
      <c r="W38" s="81">
        <f t="shared" si="50"/>
        <v>65000</v>
      </c>
      <c r="X38" s="81">
        <f t="shared" si="50"/>
        <v>30972.314999999999</v>
      </c>
      <c r="Y38" s="81">
        <f t="shared" si="50"/>
        <v>30972.32</v>
      </c>
      <c r="Z38" s="81">
        <f t="shared" si="50"/>
        <v>37258.087999999996</v>
      </c>
      <c r="AA38" s="81">
        <f t="shared" si="50"/>
        <v>33296.619999999995</v>
      </c>
      <c r="AB38" s="81">
        <f t="shared" si="50"/>
        <v>48106.761000000006</v>
      </c>
      <c r="AC38" s="81">
        <f t="shared" si="50"/>
        <v>77156.14</v>
      </c>
      <c r="AD38" s="81">
        <f t="shared" si="50"/>
        <v>54718.644</v>
      </c>
      <c r="AE38" s="81">
        <f t="shared" si="50"/>
        <v>54318.65</v>
      </c>
      <c r="AF38" s="81">
        <f t="shared" si="50"/>
        <v>36736.399999999994</v>
      </c>
      <c r="AG38" s="81">
        <f t="shared" si="50"/>
        <v>22594.03</v>
      </c>
      <c r="AH38" s="66"/>
      <c r="AI38" s="78"/>
    </row>
    <row r="39" spans="1:35" s="61" customFormat="1" ht="39.75" customHeight="1" x14ac:dyDescent="0.25">
      <c r="A39" s="87"/>
      <c r="B39" s="99"/>
      <c r="C39" s="71" t="s">
        <v>30</v>
      </c>
      <c r="D39" s="51">
        <f>SUM(J39,L39,N39,P39,R39,T39,V39,X39,Z39,AB39,AD39,AF39)</f>
        <v>2472439.3930000002</v>
      </c>
      <c r="E39" s="65">
        <f>J39+L39+N39+P39+R39+T39+V39+X39+Z39+AB39+AD39+AF39</f>
        <v>2472439.3930000002</v>
      </c>
      <c r="F39" s="65">
        <f>G39</f>
        <v>2461169.4959999998</v>
      </c>
      <c r="G39" s="65">
        <f>SUM(K39,M39,O39,Q39,S39,U39,W39,Y39,AA39,AC39,AE39,AG39)</f>
        <v>2461169.4959999998</v>
      </c>
      <c r="H39" s="65">
        <f>IFERROR(G39/D39*100,0)</f>
        <v>99.544179039053176</v>
      </c>
      <c r="I39" s="65">
        <f>IFERROR(G39/E39*100,0)</f>
        <v>99.544179039053176</v>
      </c>
      <c r="J39" s="75">
        <f>J47+J49+J51+J54+J56+J44+J58</f>
        <v>195560.851</v>
      </c>
      <c r="K39" s="75">
        <f t="shared" ref="K39:AG39" si="51">K47+K49+K51+K54+K56+K44+K58</f>
        <v>39229.65</v>
      </c>
      <c r="L39" s="75">
        <f t="shared" si="51"/>
        <v>332116.91800000001</v>
      </c>
      <c r="M39" s="75">
        <f t="shared" si="51"/>
        <v>54997.305999999997</v>
      </c>
      <c r="N39" s="75">
        <f t="shared" si="51"/>
        <v>253670.861</v>
      </c>
      <c r="O39" s="75">
        <f t="shared" si="51"/>
        <v>337454.52</v>
      </c>
      <c r="P39" s="75">
        <f t="shared" si="51"/>
        <v>224573.44</v>
      </c>
      <c r="Q39" s="75">
        <f t="shared" si="51"/>
        <v>327187.24</v>
      </c>
      <c r="R39" s="75">
        <f t="shared" si="51"/>
        <v>112443.32799999999</v>
      </c>
      <c r="S39" s="75">
        <f t="shared" si="51"/>
        <v>157830.52999999997</v>
      </c>
      <c r="T39" s="75">
        <f t="shared" si="51"/>
        <v>221321.38099999999</v>
      </c>
      <c r="U39" s="75">
        <f t="shared" si="51"/>
        <v>400792.85</v>
      </c>
      <c r="V39" s="75">
        <f t="shared" si="51"/>
        <v>387096.41100000002</v>
      </c>
      <c r="W39" s="75">
        <f t="shared" si="51"/>
        <v>385436.07</v>
      </c>
      <c r="X39" s="75">
        <f t="shared" si="51"/>
        <v>103924.36599999999</v>
      </c>
      <c r="Y39" s="75">
        <f t="shared" si="51"/>
        <v>65035.7</v>
      </c>
      <c r="Z39" s="75">
        <f t="shared" si="51"/>
        <v>137732.86600000001</v>
      </c>
      <c r="AA39" s="75">
        <f t="shared" si="51"/>
        <v>117420.7</v>
      </c>
      <c r="AB39" s="75">
        <f t="shared" si="51"/>
        <v>241674.13800000001</v>
      </c>
      <c r="AC39" s="75">
        <f t="shared" si="51"/>
        <v>41596.269999999997</v>
      </c>
      <c r="AD39" s="75">
        <f t="shared" si="51"/>
        <v>124450.68100000001</v>
      </c>
      <c r="AE39" s="75">
        <f t="shared" si="51"/>
        <v>124450.43</v>
      </c>
      <c r="AF39" s="75">
        <f t="shared" si="51"/>
        <v>137874.152</v>
      </c>
      <c r="AG39" s="75">
        <f t="shared" si="51"/>
        <v>409738.23000000004</v>
      </c>
      <c r="AH39" s="66"/>
      <c r="AI39" s="78"/>
    </row>
    <row r="40" spans="1:35" s="61" customFormat="1" ht="42.75" customHeight="1" x14ac:dyDescent="0.25">
      <c r="A40" s="87"/>
      <c r="B40" s="99"/>
      <c r="C40" s="71" t="s">
        <v>31</v>
      </c>
      <c r="D40" s="51">
        <f>SUM(J40,L40,N40,P40,R40,T40,V40,X40,Z40,AB40,AD40,AF40)</f>
        <v>561758.72000000009</v>
      </c>
      <c r="E40" s="65">
        <f t="shared" ref="E40:E41" si="52">J40+L40+N40+P40+R40+T40+V40+X40+Z40+AB40+AD40+AF40</f>
        <v>561758.72000000009</v>
      </c>
      <c r="F40" s="65">
        <f>G40</f>
        <v>558288.90099999995</v>
      </c>
      <c r="G40" s="65">
        <f>SUM(K40,M40,O40,Q40,S40,U40,W40,Y40,AA40,AC40,AE40,AG40)</f>
        <v>558288.90099999995</v>
      </c>
      <c r="H40" s="65">
        <f>IFERROR(G40/D40*100,0)</f>
        <v>99.382329303228232</v>
      </c>
      <c r="I40" s="65">
        <f>IFERROR(G40/E40*100,0)</f>
        <v>99.382329303228232</v>
      </c>
      <c r="J40" s="75">
        <f>J43+J57</f>
        <v>65711.012000000002</v>
      </c>
      <c r="K40" s="75">
        <f t="shared" ref="K40:AG40" si="53">K43+K57</f>
        <v>65711.009999999995</v>
      </c>
      <c r="L40" s="75">
        <f t="shared" si="53"/>
        <v>60000</v>
      </c>
      <c r="M40" s="75">
        <f t="shared" si="53"/>
        <v>59608.250999999997</v>
      </c>
      <c r="N40" s="75">
        <f t="shared" si="53"/>
        <v>56203.796000000002</v>
      </c>
      <c r="O40" s="75">
        <f t="shared" si="53"/>
        <v>56210.1</v>
      </c>
      <c r="P40" s="75">
        <f t="shared" si="53"/>
        <v>50485.623</v>
      </c>
      <c r="Q40" s="75">
        <f t="shared" si="53"/>
        <v>51235.14</v>
      </c>
      <c r="R40" s="75">
        <f t="shared" si="53"/>
        <v>50173.260999999999</v>
      </c>
      <c r="S40" s="75">
        <f t="shared" si="53"/>
        <v>50624.2</v>
      </c>
      <c r="T40" s="75">
        <f t="shared" si="53"/>
        <v>47731.746999999996</v>
      </c>
      <c r="U40" s="75">
        <f t="shared" si="53"/>
        <v>47762.9</v>
      </c>
      <c r="V40" s="75">
        <f t="shared" si="53"/>
        <v>60000</v>
      </c>
      <c r="W40" s="75">
        <f t="shared" si="53"/>
        <v>60000</v>
      </c>
      <c r="X40" s="75">
        <f t="shared" si="53"/>
        <v>25000</v>
      </c>
      <c r="Y40" s="75">
        <f t="shared" si="53"/>
        <v>25000</v>
      </c>
      <c r="Z40" s="75">
        <f t="shared" si="53"/>
        <v>27325.256999999998</v>
      </c>
      <c r="AA40" s="75">
        <f t="shared" si="53"/>
        <v>26132.55</v>
      </c>
      <c r="AB40" s="75">
        <f t="shared" si="53"/>
        <v>41222.141000000003</v>
      </c>
      <c r="AC40" s="75">
        <f t="shared" si="53"/>
        <v>51635.43</v>
      </c>
      <c r="AD40" s="75">
        <f t="shared" si="53"/>
        <v>48728.963000000003</v>
      </c>
      <c r="AE40" s="75">
        <f t="shared" si="53"/>
        <v>48728.959999999999</v>
      </c>
      <c r="AF40" s="75">
        <f t="shared" si="53"/>
        <v>29176.92</v>
      </c>
      <c r="AG40" s="75">
        <f t="shared" si="53"/>
        <v>15640.36</v>
      </c>
      <c r="AH40" s="66"/>
      <c r="AI40" s="78"/>
    </row>
    <row r="41" spans="1:35" s="61" customFormat="1" ht="37.5" customHeight="1" x14ac:dyDescent="0.25">
      <c r="A41" s="89"/>
      <c r="B41" s="99"/>
      <c r="C41" s="71" t="s">
        <v>32</v>
      </c>
      <c r="D41" s="51">
        <f>SUM(J41,L41,N41,P41,R41,T41,V41,X41,Z41,AB41,AD41,AF41)</f>
        <v>125534.66899999999</v>
      </c>
      <c r="E41" s="65">
        <f t="shared" si="52"/>
        <v>125534.66899999999</v>
      </c>
      <c r="F41" s="65">
        <f>G41</f>
        <v>110205.49800000001</v>
      </c>
      <c r="G41" s="65">
        <f>SUM(K41,M41,O41,Q41,S41,U41,W41,Y41,AA41,AC41,AE41,AG41)</f>
        <v>110205.49800000001</v>
      </c>
      <c r="H41" s="65">
        <f>IFERROR(G41/D41*100,0)</f>
        <v>87.788894396973333</v>
      </c>
      <c r="I41" s="65">
        <f>IFERROR(G41/E41*100,0)</f>
        <v>87.788894396973333</v>
      </c>
      <c r="J41" s="75">
        <f>J45</f>
        <v>31362.18</v>
      </c>
      <c r="K41" s="75">
        <f t="shared" ref="K41:AG41" si="54">K45</f>
        <v>5718.9219999999996</v>
      </c>
      <c r="L41" s="75">
        <f t="shared" si="54"/>
        <v>13891.33</v>
      </c>
      <c r="M41" s="75">
        <f t="shared" si="54"/>
        <v>11215.286</v>
      </c>
      <c r="N41" s="75">
        <f t="shared" si="54"/>
        <v>10899.261</v>
      </c>
      <c r="O41" s="75">
        <f t="shared" si="54"/>
        <v>11274.9</v>
      </c>
      <c r="P41" s="75">
        <f t="shared" si="54"/>
        <v>9704.4680000000008</v>
      </c>
      <c r="Q41" s="75">
        <f t="shared" si="54"/>
        <v>10567.06</v>
      </c>
      <c r="R41" s="75">
        <f t="shared" si="54"/>
        <v>8731.3529999999992</v>
      </c>
      <c r="S41" s="75">
        <f t="shared" si="54"/>
        <v>9139.73</v>
      </c>
      <c r="T41" s="75">
        <f t="shared" si="54"/>
        <v>8441.6779999999999</v>
      </c>
      <c r="U41" s="75">
        <f t="shared" si="54"/>
        <v>6089.14</v>
      </c>
      <c r="V41" s="75">
        <f t="shared" si="54"/>
        <v>6165.4719999999998</v>
      </c>
      <c r="W41" s="75">
        <f t="shared" si="54"/>
        <v>5000</v>
      </c>
      <c r="X41" s="75">
        <f t="shared" si="54"/>
        <v>5972.3149999999996</v>
      </c>
      <c r="Y41" s="75">
        <f t="shared" si="54"/>
        <v>5972.32</v>
      </c>
      <c r="Z41" s="75">
        <f t="shared" si="54"/>
        <v>9932.8310000000001</v>
      </c>
      <c r="AA41" s="75">
        <f t="shared" si="54"/>
        <v>7164.07</v>
      </c>
      <c r="AB41" s="75">
        <f t="shared" si="54"/>
        <v>6884.62</v>
      </c>
      <c r="AC41" s="75">
        <f t="shared" si="54"/>
        <v>25520.71</v>
      </c>
      <c r="AD41" s="75">
        <f t="shared" si="54"/>
        <v>5989.6809999999996</v>
      </c>
      <c r="AE41" s="75">
        <f t="shared" si="54"/>
        <v>5589.69</v>
      </c>
      <c r="AF41" s="75">
        <f t="shared" si="54"/>
        <v>7559.48</v>
      </c>
      <c r="AG41" s="75">
        <f t="shared" si="54"/>
        <v>6953.67</v>
      </c>
      <c r="AH41" s="66"/>
      <c r="AI41" s="78"/>
    </row>
    <row r="42" spans="1:35" s="61" customFormat="1" ht="23.25" customHeight="1" x14ac:dyDescent="0.25">
      <c r="A42" s="100"/>
      <c r="B42" s="101" t="s">
        <v>47</v>
      </c>
      <c r="C42" s="71" t="s">
        <v>28</v>
      </c>
      <c r="D42" s="51">
        <f>D45+D43+D44</f>
        <v>687631.38900000008</v>
      </c>
      <c r="E42" s="51">
        <f>E45+E43+E44</f>
        <v>687631.38900000008</v>
      </c>
      <c r="F42" s="51">
        <f t="shared" ref="F42:H42" si="55">F45+F43+F44</f>
        <v>668832.39899999998</v>
      </c>
      <c r="G42" s="51">
        <f t="shared" si="55"/>
        <v>668832.39899999998</v>
      </c>
      <c r="H42" s="51">
        <f t="shared" si="55"/>
        <v>287.17122370020155</v>
      </c>
      <c r="I42" s="51">
        <f>I45+I43+I44</f>
        <v>287.17122370020155</v>
      </c>
      <c r="J42" s="51">
        <f t="shared" ref="J42" si="56">J45+J43+J44</f>
        <v>97073.19200000001</v>
      </c>
      <c r="K42" s="75">
        <f t="shared" ref="K42:AG42" si="57">K45+K43</f>
        <v>71429.932000000001</v>
      </c>
      <c r="L42" s="75">
        <f t="shared" si="57"/>
        <v>73891.33</v>
      </c>
      <c r="M42" s="75">
        <f t="shared" si="57"/>
        <v>70823.536999999997</v>
      </c>
      <c r="N42" s="75">
        <f t="shared" si="57"/>
        <v>67103.057000000001</v>
      </c>
      <c r="O42" s="75">
        <f t="shared" si="57"/>
        <v>67485</v>
      </c>
      <c r="P42" s="75">
        <f t="shared" si="57"/>
        <v>60190.091</v>
      </c>
      <c r="Q42" s="75">
        <f t="shared" si="57"/>
        <v>61802.2</v>
      </c>
      <c r="R42" s="75">
        <f t="shared" si="57"/>
        <v>58904.614000000001</v>
      </c>
      <c r="S42" s="75">
        <f t="shared" si="57"/>
        <v>59763.929999999993</v>
      </c>
      <c r="T42" s="75">
        <f t="shared" si="57"/>
        <v>56173.424999999996</v>
      </c>
      <c r="U42" s="75">
        <f t="shared" si="57"/>
        <v>53852.04</v>
      </c>
      <c r="V42" s="75">
        <f t="shared" si="57"/>
        <v>66165.471999999994</v>
      </c>
      <c r="W42" s="75">
        <f t="shared" si="57"/>
        <v>65000</v>
      </c>
      <c r="X42" s="75">
        <f t="shared" si="57"/>
        <v>30972.314999999999</v>
      </c>
      <c r="Y42" s="75">
        <f t="shared" si="57"/>
        <v>30972.32</v>
      </c>
      <c r="Z42" s="75">
        <f t="shared" si="57"/>
        <v>37258.087999999996</v>
      </c>
      <c r="AA42" s="75">
        <f t="shared" si="57"/>
        <v>33296.619999999995</v>
      </c>
      <c r="AB42" s="75">
        <f t="shared" si="57"/>
        <v>48106.761000000006</v>
      </c>
      <c r="AC42" s="75">
        <f t="shared" si="57"/>
        <v>77156.14</v>
      </c>
      <c r="AD42" s="75">
        <f t="shared" si="57"/>
        <v>54718.644</v>
      </c>
      <c r="AE42" s="75">
        <f t="shared" si="57"/>
        <v>54318.65</v>
      </c>
      <c r="AF42" s="75">
        <f t="shared" si="57"/>
        <v>36736.399999999994</v>
      </c>
      <c r="AG42" s="75">
        <f t="shared" si="57"/>
        <v>22594.03</v>
      </c>
      <c r="AH42" s="60"/>
      <c r="AI42" s="78"/>
    </row>
    <row r="43" spans="1:35" s="61" customFormat="1" ht="33.75" customHeight="1" x14ac:dyDescent="0.25">
      <c r="A43" s="102"/>
      <c r="B43" s="103"/>
      <c r="C43" s="71" t="s">
        <v>31</v>
      </c>
      <c r="D43" s="51">
        <f>SUM(J43,L43,N43,P43,R43,T43,V43,X43,Z43,AB43,AD43,AF43)</f>
        <v>561758.72000000009</v>
      </c>
      <c r="E43" s="65">
        <f>J43+L43+N43+P43+R43+T43+V43+X43+Z43+AB43+AD43+AF43</f>
        <v>561758.72000000009</v>
      </c>
      <c r="F43" s="65">
        <f>G43</f>
        <v>558288.90099999995</v>
      </c>
      <c r="G43" s="65">
        <f>SUM(K43,M43,O43,Q43,S43,U43,W43,Y43,AA43,AC43,AE43,AG43)</f>
        <v>558288.90099999995</v>
      </c>
      <c r="H43" s="65">
        <f>IFERROR(G43/D43*100,0)</f>
        <v>99.382329303228232</v>
      </c>
      <c r="I43" s="65">
        <f>IFERROR(G43/E43*100,0)</f>
        <v>99.382329303228232</v>
      </c>
      <c r="J43" s="75">
        <v>65711.012000000002</v>
      </c>
      <c r="K43" s="75">
        <v>65711.009999999995</v>
      </c>
      <c r="L43" s="75">
        <v>60000</v>
      </c>
      <c r="M43" s="75">
        <v>59608.250999999997</v>
      </c>
      <c r="N43" s="75">
        <v>56203.796000000002</v>
      </c>
      <c r="O43" s="75">
        <v>56210.1</v>
      </c>
      <c r="P43" s="75">
        <f>2178.32+48307.303</f>
        <v>50485.623</v>
      </c>
      <c r="Q43" s="75">
        <v>51235.14</v>
      </c>
      <c r="R43" s="75">
        <f>49626.801+546.46</f>
        <v>50173.260999999999</v>
      </c>
      <c r="S43" s="75">
        <v>50624.2</v>
      </c>
      <c r="T43" s="75">
        <f>7452.46+40279.287</f>
        <v>47731.746999999996</v>
      </c>
      <c r="U43" s="75">
        <v>47762.9</v>
      </c>
      <c r="V43" s="75">
        <v>60000</v>
      </c>
      <c r="W43" s="75">
        <v>60000</v>
      </c>
      <c r="X43" s="75">
        <v>25000</v>
      </c>
      <c r="Y43" s="75">
        <v>25000</v>
      </c>
      <c r="Z43" s="75">
        <f>29843.427-2518.17</f>
        <v>27325.256999999998</v>
      </c>
      <c r="AA43" s="75">
        <v>26132.55</v>
      </c>
      <c r="AB43" s="75">
        <f>31768.601-546.46+10000</f>
        <v>41222.141000000003</v>
      </c>
      <c r="AC43" s="75">
        <f>11879.94+39755.49</f>
        <v>51635.43</v>
      </c>
      <c r="AD43" s="75">
        <f>5000+28218.963+2946.3+12563.7</f>
        <v>48728.963000000003</v>
      </c>
      <c r="AE43" s="75">
        <v>48728.959999999999</v>
      </c>
      <c r="AF43" s="75">
        <v>29176.92</v>
      </c>
      <c r="AG43" s="75">
        <v>15640.36</v>
      </c>
      <c r="AH43" s="60"/>
      <c r="AI43" s="78"/>
    </row>
    <row r="44" spans="1:35" s="61" customFormat="1" ht="33.75" customHeight="1" x14ac:dyDescent="0.25">
      <c r="A44" s="102"/>
      <c r="B44" s="103"/>
      <c r="C44" s="71" t="s">
        <v>30</v>
      </c>
      <c r="D44" s="51">
        <f>SUM(J44,L44,N44,P44,R44,T44,V44,X44,Z44,AB44,AD44,AF44)</f>
        <v>338</v>
      </c>
      <c r="E44" s="65">
        <f t="shared" ref="E44:E45" si="58">J44+L44+N44+P44+R44+T44+V44+X44+Z44+AB44+AD44+AF44</f>
        <v>338</v>
      </c>
      <c r="F44" s="65">
        <f>G44</f>
        <v>338</v>
      </c>
      <c r="G44" s="65">
        <f>SUM(K44,M44,O44,Q44,S44,U44,W44,Y44,AA44,AC44,AE44,AG44)</f>
        <v>338</v>
      </c>
      <c r="H44" s="65">
        <f>IFERROR(G44/D44*100,0)</f>
        <v>100</v>
      </c>
      <c r="I44" s="65">
        <f>IFERROR(G44/E44*100,0)</f>
        <v>100</v>
      </c>
      <c r="J44" s="75"/>
      <c r="K44" s="75"/>
      <c r="L44" s="75"/>
      <c r="M44" s="75"/>
      <c r="N44" s="75">
        <v>338</v>
      </c>
      <c r="O44" s="75">
        <v>108</v>
      </c>
      <c r="P44" s="75"/>
      <c r="Q44" s="75"/>
      <c r="R44" s="75"/>
      <c r="S44" s="75">
        <v>230</v>
      </c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60"/>
      <c r="AI44" s="78"/>
    </row>
    <row r="45" spans="1:35" s="61" customFormat="1" ht="28.5" customHeight="1" x14ac:dyDescent="0.25">
      <c r="A45" s="104"/>
      <c r="B45" s="105"/>
      <c r="C45" s="71" t="s">
        <v>32</v>
      </c>
      <c r="D45" s="51">
        <f>SUM(J45,L45,N45,P45,R45,T45,V45,X45,Z45,AB45,AD45,AF45)</f>
        <v>125534.66899999999</v>
      </c>
      <c r="E45" s="65">
        <f t="shared" si="58"/>
        <v>125534.66899999999</v>
      </c>
      <c r="F45" s="65">
        <f>G45</f>
        <v>110205.49800000001</v>
      </c>
      <c r="G45" s="65">
        <f>SUM(K45,M45,O45,Q45,S45,U45,W45,Y45,AA45,AC45,AE45,AG45)</f>
        <v>110205.49800000001</v>
      </c>
      <c r="H45" s="65">
        <f>IFERROR(G45/D45*100,0)</f>
        <v>87.788894396973333</v>
      </c>
      <c r="I45" s="65">
        <f>IFERROR(G45/E45*100,0)</f>
        <v>87.788894396973333</v>
      </c>
      <c r="J45" s="75">
        <v>31362.18</v>
      </c>
      <c r="K45" s="75">
        <v>5718.9219999999996</v>
      </c>
      <c r="L45" s="75">
        <v>13891.33</v>
      </c>
      <c r="M45" s="75">
        <v>11215.286</v>
      </c>
      <c r="N45" s="75">
        <v>10899.261</v>
      </c>
      <c r="O45" s="75">
        <v>11274.9</v>
      </c>
      <c r="P45" s="75">
        <v>9704.4680000000008</v>
      </c>
      <c r="Q45" s="75">
        <v>10567.06</v>
      </c>
      <c r="R45" s="75">
        <v>8731.3529999999992</v>
      </c>
      <c r="S45" s="75">
        <v>9139.73</v>
      </c>
      <c r="T45" s="75">
        <f>1935.01+6506.668</f>
        <v>8441.6779999999999</v>
      </c>
      <c r="U45" s="75">
        <v>6089.14</v>
      </c>
      <c r="V45" s="75">
        <v>6165.4719999999998</v>
      </c>
      <c r="W45" s="75">
        <v>5000</v>
      </c>
      <c r="X45" s="75">
        <v>5972.3149999999996</v>
      </c>
      <c r="Y45" s="75">
        <v>5972.32</v>
      </c>
      <c r="Z45" s="75">
        <f>3952.9+5979.931</f>
        <v>9932.8310000000001</v>
      </c>
      <c r="AA45" s="75">
        <v>7164.07</v>
      </c>
      <c r="AB45" s="75">
        <v>6884.62</v>
      </c>
      <c r="AC45" s="75">
        <v>25520.71</v>
      </c>
      <c r="AD45" s="75">
        <v>5989.6809999999996</v>
      </c>
      <c r="AE45" s="75">
        <v>5589.69</v>
      </c>
      <c r="AF45" s="75">
        <v>7559.48</v>
      </c>
      <c r="AG45" s="75">
        <v>6953.67</v>
      </c>
      <c r="AH45" s="60"/>
      <c r="AI45" s="78"/>
    </row>
    <row r="46" spans="1:35" s="61" customFormat="1" ht="77.25" customHeight="1" x14ac:dyDescent="0.25">
      <c r="A46" s="106"/>
      <c r="B46" s="107" t="s">
        <v>48</v>
      </c>
      <c r="C46" s="71" t="s">
        <v>28</v>
      </c>
      <c r="D46" s="51">
        <f t="shared" ref="D46:E46" si="59">D47</f>
        <v>2331247.9950000001</v>
      </c>
      <c r="E46" s="65">
        <f t="shared" si="59"/>
        <v>2331247.9950000001</v>
      </c>
      <c r="F46" s="65">
        <f t="shared" ref="F46:F48" si="60">G46</f>
        <v>2325933.5949999997</v>
      </c>
      <c r="G46" s="65">
        <f>G47</f>
        <v>2325933.5949999997</v>
      </c>
      <c r="H46" s="65">
        <f t="shared" ref="H46:H50" si="61">IFERROR(G46/D46*100,0)</f>
        <v>99.772036265064955</v>
      </c>
      <c r="I46" s="65">
        <f t="shared" ref="I46:I50" si="62">IFERROR(G46/E46*100,0)</f>
        <v>99.772036265064955</v>
      </c>
      <c r="J46" s="65">
        <f t="shared" ref="J46:AG46" si="63">J47</f>
        <v>189901.766</v>
      </c>
      <c r="K46" s="65">
        <f t="shared" si="63"/>
        <v>38211.910000000003</v>
      </c>
      <c r="L46" s="65">
        <f t="shared" si="63"/>
        <v>316255.65000000002</v>
      </c>
      <c r="M46" s="65">
        <f t="shared" si="63"/>
        <v>40344.345000000001</v>
      </c>
      <c r="N46" s="65">
        <f t="shared" si="63"/>
        <v>242332.639</v>
      </c>
      <c r="O46" s="65">
        <f t="shared" si="63"/>
        <v>325347.32</v>
      </c>
      <c r="P46" s="65">
        <f t="shared" si="63"/>
        <v>212215.00899999999</v>
      </c>
      <c r="Q46" s="65">
        <f t="shared" si="63"/>
        <v>315359.42</v>
      </c>
      <c r="R46" s="65">
        <f t="shared" si="63"/>
        <v>101204.897</v>
      </c>
      <c r="S46" s="65">
        <f t="shared" si="63"/>
        <v>145342.32999999999</v>
      </c>
      <c r="T46" s="65">
        <f t="shared" si="63"/>
        <v>210618.63699999999</v>
      </c>
      <c r="U46" s="65">
        <f t="shared" si="63"/>
        <v>389856.41</v>
      </c>
      <c r="V46" s="65">
        <f t="shared" si="63"/>
        <v>377685.36499999999</v>
      </c>
      <c r="W46" s="65">
        <f t="shared" si="63"/>
        <v>377685.37</v>
      </c>
      <c r="X46" s="65">
        <f t="shared" si="63"/>
        <v>95421.072</v>
      </c>
      <c r="Y46" s="65">
        <f t="shared" si="63"/>
        <v>57285</v>
      </c>
      <c r="Z46" s="65">
        <f t="shared" si="63"/>
        <v>130036.44100000001</v>
      </c>
      <c r="AA46" s="65">
        <f t="shared" si="63"/>
        <v>110000</v>
      </c>
      <c r="AB46" s="65">
        <f>AB47</f>
        <v>218668.538</v>
      </c>
      <c r="AC46" s="65">
        <f t="shared" si="63"/>
        <v>23263.75</v>
      </c>
      <c r="AD46" s="65">
        <f t="shared" si="63"/>
        <v>109478.251</v>
      </c>
      <c r="AE46" s="65">
        <f t="shared" si="63"/>
        <v>109478</v>
      </c>
      <c r="AF46" s="65">
        <f>AF47</f>
        <v>127429.73</v>
      </c>
      <c r="AG46" s="65">
        <f t="shared" si="63"/>
        <v>393759.74</v>
      </c>
      <c r="AH46" s="60"/>
      <c r="AI46" s="78"/>
    </row>
    <row r="47" spans="1:35" s="61" customFormat="1" ht="71.25" customHeight="1" x14ac:dyDescent="0.25">
      <c r="A47" s="106"/>
      <c r="B47" s="107"/>
      <c r="C47" s="71" t="s">
        <v>30</v>
      </c>
      <c r="D47" s="51">
        <f t="shared" ref="D47" si="64">SUM(J47,L47,N47,P47,R47,T47,V47,X47,Z47,AB47,AD47,AF47)</f>
        <v>2331247.9950000001</v>
      </c>
      <c r="E47" s="65">
        <f>J47+L47+N47+P47+R47+T47+V47+X47+Z47+AB47+AD47+AF47</f>
        <v>2331247.9950000001</v>
      </c>
      <c r="F47" s="65">
        <f>G47</f>
        <v>2325933.5949999997</v>
      </c>
      <c r="G47" s="65">
        <f>SUM(K47,M47,O47,Q47,S47,U47,W47,Y47,AA47,AC47,AE47,AG47)</f>
        <v>2325933.5949999997</v>
      </c>
      <c r="H47" s="65">
        <f t="shared" si="61"/>
        <v>99.772036265064955</v>
      </c>
      <c r="I47" s="65">
        <f t="shared" si="62"/>
        <v>99.772036265064955</v>
      </c>
      <c r="J47" s="75">
        <v>189901.766</v>
      </c>
      <c r="K47" s="75">
        <v>38211.910000000003</v>
      </c>
      <c r="L47" s="75">
        <v>316255.65000000002</v>
      </c>
      <c r="M47" s="75">
        <v>40344.345000000001</v>
      </c>
      <c r="N47" s="75">
        <v>242332.639</v>
      </c>
      <c r="O47" s="75">
        <v>325347.32</v>
      </c>
      <c r="P47" s="75">
        <v>212215.00899999999</v>
      </c>
      <c r="Q47" s="75">
        <v>315359.42</v>
      </c>
      <c r="R47" s="75">
        <f>356506.087-255301.19</f>
        <v>101204.897</v>
      </c>
      <c r="S47" s="75">
        <v>145342.32999999999</v>
      </c>
      <c r="T47" s="75">
        <v>210618.63699999999</v>
      </c>
      <c r="U47" s="75">
        <v>389856.41</v>
      </c>
      <c r="V47" s="75">
        <f>255301.19+122384.175</f>
        <v>377685.36499999999</v>
      </c>
      <c r="W47" s="75">
        <v>377685.37</v>
      </c>
      <c r="X47" s="75">
        <v>95421.072</v>
      </c>
      <c r="Y47" s="75">
        <v>57285</v>
      </c>
      <c r="Z47" s="75">
        <v>130036.44100000001</v>
      </c>
      <c r="AA47" s="75">
        <v>110000</v>
      </c>
      <c r="AB47" s="75">
        <f>94952.81+123715.728</f>
        <v>218668.538</v>
      </c>
      <c r="AC47" s="75">
        <v>23263.75</v>
      </c>
      <c r="AD47" s="75">
        <v>109478.251</v>
      </c>
      <c r="AE47" s="75">
        <v>109478</v>
      </c>
      <c r="AF47" s="75">
        <v>127429.73</v>
      </c>
      <c r="AG47" s="75">
        <v>393759.74</v>
      </c>
      <c r="AH47" s="60"/>
      <c r="AI47" s="78"/>
    </row>
    <row r="48" spans="1:35" s="61" customFormat="1" ht="62.25" customHeight="1" x14ac:dyDescent="0.25">
      <c r="A48" s="106"/>
      <c r="B48" s="107" t="s">
        <v>49</v>
      </c>
      <c r="C48" s="71" t="s">
        <v>28</v>
      </c>
      <c r="D48" s="51">
        <f t="shared" ref="D48:E48" si="65">D49</f>
        <v>54379.678</v>
      </c>
      <c r="E48" s="65">
        <f t="shared" si="65"/>
        <v>54379.678</v>
      </c>
      <c r="F48" s="65">
        <f t="shared" si="60"/>
        <v>52176.996999999996</v>
      </c>
      <c r="G48" s="65">
        <f>G49</f>
        <v>52176.996999999996</v>
      </c>
      <c r="H48" s="65">
        <f t="shared" si="61"/>
        <v>95.949440892239195</v>
      </c>
      <c r="I48" s="65">
        <f t="shared" si="62"/>
        <v>95.949440892239195</v>
      </c>
      <c r="J48" s="65">
        <f t="shared" ref="J48:AG48" si="66">J49</f>
        <v>4729.085</v>
      </c>
      <c r="K48" s="65">
        <f t="shared" si="66"/>
        <v>1017.74</v>
      </c>
      <c r="L48" s="65">
        <f t="shared" si="66"/>
        <v>4931.268</v>
      </c>
      <c r="M48" s="65">
        <f t="shared" si="66"/>
        <v>4075.4470000000001</v>
      </c>
      <c r="N48" s="65">
        <f t="shared" si="66"/>
        <v>5070.2219999999998</v>
      </c>
      <c r="O48" s="65">
        <f t="shared" si="66"/>
        <v>5310.01</v>
      </c>
      <c r="P48" s="65">
        <f t="shared" si="66"/>
        <v>5128.4309999999996</v>
      </c>
      <c r="Q48" s="65">
        <f t="shared" si="66"/>
        <v>5000</v>
      </c>
      <c r="R48" s="65">
        <f t="shared" si="66"/>
        <v>5058.4309999999996</v>
      </c>
      <c r="S48" s="65">
        <f t="shared" si="66"/>
        <v>5290.86</v>
      </c>
      <c r="T48" s="65">
        <f t="shared" si="66"/>
        <v>3848.0439999999999</v>
      </c>
      <c r="U48" s="65">
        <f t="shared" si="66"/>
        <v>3979.74</v>
      </c>
      <c r="V48" s="65">
        <f t="shared" si="66"/>
        <v>2660.346</v>
      </c>
      <c r="W48" s="65">
        <f t="shared" si="66"/>
        <v>1000</v>
      </c>
      <c r="X48" s="65">
        <f t="shared" si="66"/>
        <v>1752.5940000000001</v>
      </c>
      <c r="Y48" s="65">
        <f t="shared" si="66"/>
        <v>1000</v>
      </c>
      <c r="Z48" s="65">
        <f t="shared" si="66"/>
        <v>1275.7249999999999</v>
      </c>
      <c r="AA48" s="65">
        <f t="shared" si="66"/>
        <v>1000</v>
      </c>
      <c r="AB48" s="65">
        <f t="shared" si="66"/>
        <v>10000</v>
      </c>
      <c r="AC48" s="65">
        <f t="shared" si="66"/>
        <v>9574.06</v>
      </c>
      <c r="AD48" s="65">
        <f t="shared" si="66"/>
        <v>7972.43</v>
      </c>
      <c r="AE48" s="65">
        <f t="shared" si="66"/>
        <v>7972.43</v>
      </c>
      <c r="AF48" s="65">
        <f t="shared" si="66"/>
        <v>1953.1020000000001</v>
      </c>
      <c r="AG48" s="65">
        <f t="shared" si="66"/>
        <v>6956.71</v>
      </c>
      <c r="AH48" s="60"/>
      <c r="AI48" s="78"/>
    </row>
    <row r="49" spans="1:35" s="61" customFormat="1" ht="105.75" customHeight="1" x14ac:dyDescent="0.25">
      <c r="A49" s="106"/>
      <c r="B49" s="107"/>
      <c r="C49" s="71" t="s">
        <v>30</v>
      </c>
      <c r="D49" s="51">
        <f t="shared" ref="D49" si="67">SUM(J49,L49,N49,P49,R49,T49,V49,X49,Z49,AB49,AD49,AF49)</f>
        <v>54379.678</v>
      </c>
      <c r="E49" s="65">
        <f>J49+L49+N49+P49+R49+T49+V49+X49+Z49+AB49+AD49+AF49</f>
        <v>54379.678</v>
      </c>
      <c r="F49" s="65">
        <f>G49</f>
        <v>52176.996999999996</v>
      </c>
      <c r="G49" s="65">
        <f>SUM(K49,M49,O49,Q49,S49,U49,W49,Y49,AA49,AC49,AE49,AG49)</f>
        <v>52176.996999999996</v>
      </c>
      <c r="H49" s="65">
        <f t="shared" si="61"/>
        <v>95.949440892239195</v>
      </c>
      <c r="I49" s="65">
        <f t="shared" si="62"/>
        <v>95.949440892239195</v>
      </c>
      <c r="J49" s="75">
        <v>4729.085</v>
      </c>
      <c r="K49" s="75">
        <v>1017.74</v>
      </c>
      <c r="L49" s="75">
        <v>4931.268</v>
      </c>
      <c r="M49" s="75">
        <v>4075.4470000000001</v>
      </c>
      <c r="N49" s="75">
        <v>5070.2219999999998</v>
      </c>
      <c r="O49" s="75">
        <v>5310.01</v>
      </c>
      <c r="P49" s="75">
        <v>5128.4309999999996</v>
      </c>
      <c r="Q49" s="75">
        <v>5000</v>
      </c>
      <c r="R49" s="75">
        <v>5058.4309999999996</v>
      </c>
      <c r="S49" s="75">
        <v>5290.86</v>
      </c>
      <c r="T49" s="75">
        <v>3848.0439999999999</v>
      </c>
      <c r="U49" s="75">
        <v>3979.74</v>
      </c>
      <c r="V49" s="75">
        <v>2660.346</v>
      </c>
      <c r="W49" s="75">
        <v>1000</v>
      </c>
      <c r="X49" s="75">
        <v>1752.5940000000001</v>
      </c>
      <c r="Y49" s="75">
        <v>1000</v>
      </c>
      <c r="Z49" s="75">
        <v>1275.7249999999999</v>
      </c>
      <c r="AA49" s="75">
        <v>1000</v>
      </c>
      <c r="AB49" s="75">
        <v>10000</v>
      </c>
      <c r="AC49" s="75">
        <v>9574.06</v>
      </c>
      <c r="AD49" s="75">
        <v>7972.43</v>
      </c>
      <c r="AE49" s="75">
        <v>7972.43</v>
      </c>
      <c r="AF49" s="75">
        <f>994.83+991.592-33.32</f>
        <v>1953.1020000000001</v>
      </c>
      <c r="AG49" s="75">
        <v>6956.71</v>
      </c>
      <c r="AH49" s="60"/>
      <c r="AI49" s="78"/>
    </row>
    <row r="50" spans="1:35" s="61" customFormat="1" ht="90.75" customHeight="1" x14ac:dyDescent="0.25">
      <c r="A50" s="108"/>
      <c r="B50" s="101" t="s">
        <v>50</v>
      </c>
      <c r="C50" s="71" t="s">
        <v>28</v>
      </c>
      <c r="D50" s="51">
        <f>D52+D51</f>
        <v>13536</v>
      </c>
      <c r="E50" s="65">
        <f t="shared" ref="E50:G50" si="68">E52+E51</f>
        <v>13536</v>
      </c>
      <c r="F50" s="65">
        <f t="shared" si="68"/>
        <v>13380</v>
      </c>
      <c r="G50" s="65">
        <f t="shared" si="68"/>
        <v>13380</v>
      </c>
      <c r="H50" s="65">
        <f t="shared" si="61"/>
        <v>98.847517730496463</v>
      </c>
      <c r="I50" s="65">
        <f t="shared" si="62"/>
        <v>98.847517730496463</v>
      </c>
      <c r="J50" s="75">
        <f>J52+J51</f>
        <v>930</v>
      </c>
      <c r="K50" s="75">
        <f t="shared" ref="K50:AG50" si="69">K52+K51</f>
        <v>0</v>
      </c>
      <c r="L50" s="75">
        <f t="shared" si="69"/>
        <v>930</v>
      </c>
      <c r="M50" s="75">
        <f t="shared" si="69"/>
        <v>1300</v>
      </c>
      <c r="N50" s="75">
        <f t="shared" si="69"/>
        <v>930</v>
      </c>
      <c r="O50" s="75">
        <f t="shared" si="69"/>
        <v>1060</v>
      </c>
      <c r="P50" s="75">
        <f t="shared" si="69"/>
        <v>930</v>
      </c>
      <c r="Q50" s="83">
        <f t="shared" si="69"/>
        <v>1076</v>
      </c>
      <c r="R50" s="75">
        <f t="shared" si="69"/>
        <v>930</v>
      </c>
      <c r="S50" s="75">
        <f t="shared" si="69"/>
        <v>1112</v>
      </c>
      <c r="T50" s="75">
        <f t="shared" si="69"/>
        <v>1034</v>
      </c>
      <c r="U50" s="75">
        <f t="shared" si="69"/>
        <v>1136</v>
      </c>
      <c r="V50" s="75">
        <f t="shared" si="69"/>
        <v>930</v>
      </c>
      <c r="W50" s="75">
        <f t="shared" si="69"/>
        <v>930</v>
      </c>
      <c r="X50" s="75">
        <f t="shared" si="69"/>
        <v>930</v>
      </c>
      <c r="Y50" s="75">
        <f t="shared" si="69"/>
        <v>930</v>
      </c>
      <c r="Z50" s="75">
        <f t="shared" si="69"/>
        <v>600</v>
      </c>
      <c r="AA50" s="75">
        <f t="shared" si="69"/>
        <v>600</v>
      </c>
      <c r="AB50" s="75">
        <f t="shared" si="69"/>
        <v>2716</v>
      </c>
      <c r="AC50" s="75">
        <f t="shared" si="69"/>
        <v>2220</v>
      </c>
      <c r="AD50" s="75">
        <f t="shared" si="69"/>
        <v>2000</v>
      </c>
      <c r="AE50" s="75">
        <f t="shared" si="69"/>
        <v>2000</v>
      </c>
      <c r="AF50" s="75">
        <f t="shared" si="69"/>
        <v>676</v>
      </c>
      <c r="AG50" s="75">
        <f t="shared" si="69"/>
        <v>1016</v>
      </c>
      <c r="AH50" s="60"/>
      <c r="AI50" s="78"/>
    </row>
    <row r="51" spans="1:35" s="61" customFormat="1" ht="88.5" customHeight="1" x14ac:dyDescent="0.25">
      <c r="A51" s="109"/>
      <c r="B51" s="103"/>
      <c r="C51" s="71" t="s">
        <v>30</v>
      </c>
      <c r="D51" s="51">
        <f>SUM(J51,L51,N51,P51,R51,T51,V51,X51,Z51,AB51,AD51,AF51)</f>
        <v>13536</v>
      </c>
      <c r="E51" s="65">
        <f>J51+L51+N51+P51+R51+T51+V51+X51+Z51+AB51+AD51+AF51</f>
        <v>13536</v>
      </c>
      <c r="F51" s="65">
        <f>G51</f>
        <v>13380</v>
      </c>
      <c r="G51" s="65">
        <f>SUM(K51,M51,O51,Q51,S51,U51,W51,Y51,AA51,AC51,AE51,AG51)</f>
        <v>13380</v>
      </c>
      <c r="H51" s="65">
        <f>IFERROR(G51/D51*100,0)</f>
        <v>98.847517730496463</v>
      </c>
      <c r="I51" s="65">
        <f>IFERROR(G51/E51*100,0)</f>
        <v>98.847517730496463</v>
      </c>
      <c r="J51" s="75">
        <v>930</v>
      </c>
      <c r="K51" s="75">
        <v>0</v>
      </c>
      <c r="L51" s="75">
        <v>930</v>
      </c>
      <c r="M51" s="75">
        <v>1300</v>
      </c>
      <c r="N51" s="75">
        <v>930</v>
      </c>
      <c r="O51" s="75">
        <v>1060</v>
      </c>
      <c r="P51" s="75">
        <v>930</v>
      </c>
      <c r="Q51" s="75">
        <v>1076</v>
      </c>
      <c r="R51" s="75">
        <v>930</v>
      </c>
      <c r="S51" s="75">
        <v>1112</v>
      </c>
      <c r="T51" s="75">
        <f>104+930</f>
        <v>1034</v>
      </c>
      <c r="U51" s="75">
        <v>1136</v>
      </c>
      <c r="V51" s="75">
        <v>930</v>
      </c>
      <c r="W51" s="75">
        <v>930</v>
      </c>
      <c r="X51" s="75">
        <v>930</v>
      </c>
      <c r="Y51" s="75">
        <v>930</v>
      </c>
      <c r="Z51" s="75">
        <v>600</v>
      </c>
      <c r="AA51" s="75">
        <v>600</v>
      </c>
      <c r="AB51" s="75">
        <f>600-104+2220</f>
        <v>2716</v>
      </c>
      <c r="AC51" s="75">
        <v>2220</v>
      </c>
      <c r="AD51" s="75">
        <v>2000</v>
      </c>
      <c r="AE51" s="75">
        <v>2000</v>
      </c>
      <c r="AF51" s="75">
        <f>916-240</f>
        <v>676</v>
      </c>
      <c r="AG51" s="75">
        <v>1016</v>
      </c>
      <c r="AH51" s="60"/>
      <c r="AI51" s="78"/>
    </row>
    <row r="52" spans="1:35" s="113" customFormat="1" ht="28.5" hidden="1" customHeight="1" x14ac:dyDescent="0.25">
      <c r="A52" s="110"/>
      <c r="B52" s="105"/>
      <c r="C52" s="93" t="s">
        <v>32</v>
      </c>
      <c r="D52" s="94">
        <f>SUM(J52,L52,N52,P52,R52,T52,V52,X52,Z52,AB52,AD52,AF52)</f>
        <v>0</v>
      </c>
      <c r="E52" s="95">
        <f>J52</f>
        <v>0</v>
      </c>
      <c r="F52" s="95">
        <f>G52</f>
        <v>0</v>
      </c>
      <c r="G52" s="95">
        <f>SUM(K52,M52,O52,Q52,S52,U52,W52,Y52,AA52,AC52,AE52,AG52)</f>
        <v>0</v>
      </c>
      <c r="H52" s="95">
        <f>IFERROR(G52/D52*100,0)</f>
        <v>0</v>
      </c>
      <c r="I52" s="95">
        <f>IFERROR(G52/E52*100,0)</f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96">
        <v>0</v>
      </c>
      <c r="R52" s="96">
        <v>0</v>
      </c>
      <c r="S52" s="96">
        <v>0</v>
      </c>
      <c r="T52" s="96">
        <v>0</v>
      </c>
      <c r="U52" s="96">
        <v>0</v>
      </c>
      <c r="V52" s="96">
        <v>0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96">
        <v>0</v>
      </c>
      <c r="AC52" s="96">
        <v>0</v>
      </c>
      <c r="AD52" s="96">
        <v>0</v>
      </c>
      <c r="AE52" s="96">
        <v>0</v>
      </c>
      <c r="AF52" s="96">
        <v>0</v>
      </c>
      <c r="AG52" s="96">
        <v>0</v>
      </c>
      <c r="AH52" s="111"/>
      <c r="AI52" s="112"/>
    </row>
    <row r="53" spans="1:35" s="61" customFormat="1" ht="69" customHeight="1" x14ac:dyDescent="0.25">
      <c r="A53" s="106"/>
      <c r="B53" s="107" t="s">
        <v>51</v>
      </c>
      <c r="C53" s="71" t="s">
        <v>28</v>
      </c>
      <c r="D53" s="51">
        <f t="shared" ref="D53:E53" si="70">D54</f>
        <v>72904.399999999994</v>
      </c>
      <c r="E53" s="65">
        <f t="shared" si="70"/>
        <v>72904.399999999994</v>
      </c>
      <c r="F53" s="65">
        <f t="shared" ref="F53:F54" si="71">G53</f>
        <v>69340.903999999995</v>
      </c>
      <c r="G53" s="65">
        <f>G54</f>
        <v>69340.903999999995</v>
      </c>
      <c r="H53" s="65">
        <f t="shared" ref="H53:H55" si="72">IFERROR(G53/D53*100,0)</f>
        <v>95.112097486571457</v>
      </c>
      <c r="I53" s="65">
        <f t="shared" ref="I53:I55" si="73">IFERROR(G53/E53*100,0)</f>
        <v>95.112097486571457</v>
      </c>
      <c r="J53" s="65">
        <f t="shared" ref="J53:AG53" si="74">J54</f>
        <v>0</v>
      </c>
      <c r="K53" s="65">
        <f t="shared" si="74"/>
        <v>0</v>
      </c>
      <c r="L53" s="65">
        <f t="shared" si="74"/>
        <v>10000</v>
      </c>
      <c r="M53" s="65">
        <f t="shared" si="74"/>
        <v>9277.5139999999992</v>
      </c>
      <c r="N53" s="65">
        <f t="shared" si="74"/>
        <v>5000</v>
      </c>
      <c r="O53" s="65">
        <f t="shared" si="74"/>
        <v>5629.19</v>
      </c>
      <c r="P53" s="65">
        <f t="shared" si="74"/>
        <v>6300</v>
      </c>
      <c r="Q53" s="65">
        <f t="shared" si="74"/>
        <v>5751.82</v>
      </c>
      <c r="R53" s="65">
        <f t="shared" si="74"/>
        <v>5250</v>
      </c>
      <c r="S53" s="65">
        <f t="shared" si="74"/>
        <v>5855.34</v>
      </c>
      <c r="T53" s="65">
        <f t="shared" si="74"/>
        <v>5820.7</v>
      </c>
      <c r="U53" s="65">
        <f t="shared" si="74"/>
        <v>5820.7</v>
      </c>
      <c r="V53" s="65">
        <f t="shared" si="74"/>
        <v>5820.7</v>
      </c>
      <c r="W53" s="65">
        <f t="shared" si="74"/>
        <v>5820.7</v>
      </c>
      <c r="X53" s="65">
        <f t="shared" si="74"/>
        <v>5820.7</v>
      </c>
      <c r="Y53" s="65">
        <f t="shared" si="74"/>
        <v>5820.7</v>
      </c>
      <c r="Z53" s="65">
        <f t="shared" si="74"/>
        <v>5820.7</v>
      </c>
      <c r="AA53" s="65">
        <f t="shared" si="74"/>
        <v>5820.7</v>
      </c>
      <c r="AB53" s="65">
        <f t="shared" si="74"/>
        <v>10289.6</v>
      </c>
      <c r="AC53" s="65">
        <f t="shared" si="74"/>
        <v>6538.46</v>
      </c>
      <c r="AD53" s="65">
        <f t="shared" si="74"/>
        <v>5000</v>
      </c>
      <c r="AE53" s="65">
        <f t="shared" si="74"/>
        <v>5000</v>
      </c>
      <c r="AF53" s="65">
        <f t="shared" si="74"/>
        <v>7782</v>
      </c>
      <c r="AG53" s="65">
        <f t="shared" si="74"/>
        <v>8005.78</v>
      </c>
      <c r="AH53" s="60"/>
      <c r="AI53" s="78"/>
    </row>
    <row r="54" spans="1:35" s="61" customFormat="1" ht="67.5" customHeight="1" x14ac:dyDescent="0.25">
      <c r="A54" s="106"/>
      <c r="B54" s="107"/>
      <c r="C54" s="71" t="s">
        <v>30</v>
      </c>
      <c r="D54" s="51">
        <f t="shared" ref="D54" si="75">SUM(J54,L54,N54,P54,R54,T54,V54,X54,Z54,AB54,AD54,AF54)</f>
        <v>72904.399999999994</v>
      </c>
      <c r="E54" s="65">
        <f>J54+L54+N54+P54+R54+T54+V54+X54+Z54+AB54+AD54+AF54</f>
        <v>72904.399999999994</v>
      </c>
      <c r="F54" s="65">
        <f t="shared" si="71"/>
        <v>69340.903999999995</v>
      </c>
      <c r="G54" s="65">
        <f t="shared" ref="G54" si="76">SUM(K54,M54,O54,Q54,S54,U54,W54,Y54,AA54,AC54,AE54,AG54)</f>
        <v>69340.903999999995</v>
      </c>
      <c r="H54" s="65">
        <f t="shared" si="72"/>
        <v>95.112097486571457</v>
      </c>
      <c r="I54" s="65">
        <f t="shared" si="73"/>
        <v>95.112097486571457</v>
      </c>
      <c r="J54" s="75">
        <v>0</v>
      </c>
      <c r="K54" s="75">
        <v>0</v>
      </c>
      <c r="L54" s="75">
        <v>10000</v>
      </c>
      <c r="M54" s="75">
        <v>9277.5139999999992</v>
      </c>
      <c r="N54" s="75">
        <v>5000</v>
      </c>
      <c r="O54" s="75">
        <v>5629.19</v>
      </c>
      <c r="P54" s="75">
        <v>6300</v>
      </c>
      <c r="Q54" s="75">
        <v>5751.82</v>
      </c>
      <c r="R54" s="75">
        <v>5250</v>
      </c>
      <c r="S54" s="75">
        <v>5855.34</v>
      </c>
      <c r="T54" s="75">
        <v>5820.7</v>
      </c>
      <c r="U54" s="75">
        <v>5820.7</v>
      </c>
      <c r="V54" s="75">
        <v>5820.7</v>
      </c>
      <c r="W54" s="75">
        <v>5820.7</v>
      </c>
      <c r="X54" s="75">
        <v>5820.7</v>
      </c>
      <c r="Y54" s="75">
        <v>5820.7</v>
      </c>
      <c r="Z54" s="75">
        <v>5820.7</v>
      </c>
      <c r="AA54" s="75">
        <v>5820.7</v>
      </c>
      <c r="AB54" s="75">
        <v>10289.6</v>
      </c>
      <c r="AC54" s="75">
        <v>6538.46</v>
      </c>
      <c r="AD54" s="75">
        <v>5000</v>
      </c>
      <c r="AE54" s="75">
        <v>5000</v>
      </c>
      <c r="AF54" s="75">
        <f>46122.4-10000-5000-6300-5250-5820.7-969.7-5000</f>
        <v>7782</v>
      </c>
      <c r="AG54" s="75">
        <v>8005.78</v>
      </c>
      <c r="AH54" s="60"/>
      <c r="AI54" s="78"/>
    </row>
    <row r="55" spans="1:35" s="61" customFormat="1" ht="23.25" customHeight="1" x14ac:dyDescent="0.25">
      <c r="A55" s="100"/>
      <c r="B55" s="101" t="s">
        <v>52</v>
      </c>
      <c r="C55" s="71" t="s">
        <v>28</v>
      </c>
      <c r="D55" s="51">
        <f>D57+D56</f>
        <v>0</v>
      </c>
      <c r="E55" s="65">
        <f t="shared" ref="E55:G55" si="77">E57+E56</f>
        <v>0</v>
      </c>
      <c r="F55" s="65">
        <f t="shared" si="77"/>
        <v>0</v>
      </c>
      <c r="G55" s="65">
        <f t="shared" si="77"/>
        <v>0</v>
      </c>
      <c r="H55" s="65">
        <f t="shared" si="72"/>
        <v>0</v>
      </c>
      <c r="I55" s="65">
        <f t="shared" si="73"/>
        <v>0</v>
      </c>
      <c r="J55" s="75">
        <f>J57+J56</f>
        <v>0</v>
      </c>
      <c r="K55" s="75">
        <f t="shared" ref="K55:AG55" si="78">K57+K56</f>
        <v>0</v>
      </c>
      <c r="L55" s="75">
        <f t="shared" si="78"/>
        <v>0</v>
      </c>
      <c r="M55" s="75">
        <f t="shared" si="78"/>
        <v>0</v>
      </c>
      <c r="N55" s="75">
        <f t="shared" si="78"/>
        <v>0</v>
      </c>
      <c r="O55" s="75">
        <f t="shared" si="78"/>
        <v>0</v>
      </c>
      <c r="P55" s="75">
        <f t="shared" si="78"/>
        <v>0</v>
      </c>
      <c r="Q55" s="75">
        <f t="shared" si="78"/>
        <v>0</v>
      </c>
      <c r="R55" s="75">
        <f t="shared" si="78"/>
        <v>0</v>
      </c>
      <c r="S55" s="75">
        <f t="shared" si="78"/>
        <v>0</v>
      </c>
      <c r="T55" s="75">
        <f t="shared" si="78"/>
        <v>0</v>
      </c>
      <c r="U55" s="75">
        <f t="shared" si="78"/>
        <v>0</v>
      </c>
      <c r="V55" s="75">
        <f t="shared" si="78"/>
        <v>0</v>
      </c>
      <c r="W55" s="75">
        <f t="shared" si="78"/>
        <v>0</v>
      </c>
      <c r="X55" s="75">
        <f t="shared" si="78"/>
        <v>0</v>
      </c>
      <c r="Y55" s="75">
        <f t="shared" si="78"/>
        <v>0</v>
      </c>
      <c r="Z55" s="75">
        <f t="shared" si="78"/>
        <v>0</v>
      </c>
      <c r="AA55" s="75">
        <f t="shared" si="78"/>
        <v>0</v>
      </c>
      <c r="AB55" s="75">
        <f t="shared" si="78"/>
        <v>0</v>
      </c>
      <c r="AC55" s="75">
        <f t="shared" si="78"/>
        <v>0</v>
      </c>
      <c r="AD55" s="75">
        <f t="shared" si="78"/>
        <v>0</v>
      </c>
      <c r="AE55" s="75">
        <f t="shared" si="78"/>
        <v>0</v>
      </c>
      <c r="AF55" s="75">
        <f t="shared" si="78"/>
        <v>0</v>
      </c>
      <c r="AG55" s="75">
        <f t="shared" si="78"/>
        <v>0</v>
      </c>
      <c r="AH55" s="60"/>
      <c r="AI55" s="78"/>
    </row>
    <row r="56" spans="1:35" s="61" customFormat="1" ht="66.75" customHeight="1" x14ac:dyDescent="0.25">
      <c r="A56" s="102"/>
      <c r="B56" s="103"/>
      <c r="C56" s="71" t="s">
        <v>30</v>
      </c>
      <c r="D56" s="51">
        <f>SUM(J56,L56,N56,P56,R56,T56,V56,X56,Z56,AB56,AD56,AF56)</f>
        <v>0</v>
      </c>
      <c r="E56" s="65">
        <f>J56</f>
        <v>0</v>
      </c>
      <c r="F56" s="65">
        <f>G56</f>
        <v>0</v>
      </c>
      <c r="G56" s="65">
        <f>SUM(K56,M56,O56,Q56,S56,U56,W56,Y56,AA56,AC56,AE56,AG56)</f>
        <v>0</v>
      </c>
      <c r="H56" s="65">
        <f>IFERROR(G56/D56*100,0)</f>
        <v>0</v>
      </c>
      <c r="I56" s="65">
        <f>IFERROR(G56/E56*100,0)</f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75"/>
      <c r="AG56" s="75">
        <v>0</v>
      </c>
      <c r="AH56" s="60"/>
      <c r="AI56" s="78"/>
    </row>
    <row r="57" spans="1:35" s="61" customFormat="1" ht="75.75" customHeight="1" x14ac:dyDescent="0.25">
      <c r="A57" s="114"/>
      <c r="B57" s="105"/>
      <c r="C57" s="71" t="s">
        <v>31</v>
      </c>
      <c r="D57" s="51">
        <f>SUM(J57,L57,N57,P57,R57,T57,V57,X57,Z57,AB57,AD57,AF57)</f>
        <v>0</v>
      </c>
      <c r="E57" s="65">
        <f>J57</f>
        <v>0</v>
      </c>
      <c r="F57" s="65">
        <f>G57</f>
        <v>0</v>
      </c>
      <c r="G57" s="65">
        <f>SUM(K57,M57,O57,Q57,S57,U57,W57,Y57,AA57,AC57,AE57,AG57)</f>
        <v>0</v>
      </c>
      <c r="H57" s="65">
        <f>IFERROR(G57/D57*100,0)</f>
        <v>0</v>
      </c>
      <c r="I57" s="65">
        <f>IFERROR(G57/E57*100,0)</f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/>
      <c r="AG57" s="75">
        <v>0</v>
      </c>
      <c r="AH57" s="60"/>
      <c r="AI57" s="78"/>
    </row>
    <row r="58" spans="1:35" s="61" customFormat="1" ht="62.25" customHeight="1" x14ac:dyDescent="0.25">
      <c r="A58" s="106"/>
      <c r="B58" s="115" t="s">
        <v>53</v>
      </c>
      <c r="C58" s="71" t="s">
        <v>28</v>
      </c>
      <c r="D58" s="51">
        <f t="shared" ref="D58:E58" si="79">D59</f>
        <v>33.32</v>
      </c>
      <c r="E58" s="65">
        <f t="shared" si="79"/>
        <v>0</v>
      </c>
      <c r="F58" s="65">
        <f t="shared" ref="F58" si="80">G58</f>
        <v>0</v>
      </c>
      <c r="G58" s="65">
        <f>G59</f>
        <v>0</v>
      </c>
      <c r="H58" s="65">
        <f t="shared" ref="H58:H60" si="81">IFERROR(G58/D58*100,0)</f>
        <v>0</v>
      </c>
      <c r="I58" s="65">
        <f t="shared" ref="I58:I60" si="82">IFERROR(G58/E58*100,0)</f>
        <v>0</v>
      </c>
      <c r="J58" s="65">
        <f t="shared" ref="J58:AG58" si="83">J59</f>
        <v>0</v>
      </c>
      <c r="K58" s="65">
        <f t="shared" si="83"/>
        <v>0</v>
      </c>
      <c r="L58" s="65">
        <f t="shared" si="83"/>
        <v>0</v>
      </c>
      <c r="M58" s="65">
        <f t="shared" si="83"/>
        <v>0</v>
      </c>
      <c r="N58" s="65">
        <f t="shared" si="83"/>
        <v>0</v>
      </c>
      <c r="O58" s="65">
        <f t="shared" si="83"/>
        <v>0</v>
      </c>
      <c r="P58" s="65">
        <f t="shared" si="83"/>
        <v>0</v>
      </c>
      <c r="Q58" s="65">
        <f t="shared" si="83"/>
        <v>0</v>
      </c>
      <c r="R58" s="65">
        <f t="shared" si="83"/>
        <v>0</v>
      </c>
      <c r="S58" s="65">
        <f t="shared" si="83"/>
        <v>0</v>
      </c>
      <c r="T58" s="65">
        <f t="shared" si="83"/>
        <v>0</v>
      </c>
      <c r="U58" s="65">
        <f t="shared" si="83"/>
        <v>0</v>
      </c>
      <c r="V58" s="65">
        <f t="shared" si="83"/>
        <v>0</v>
      </c>
      <c r="W58" s="65">
        <f t="shared" si="83"/>
        <v>0</v>
      </c>
      <c r="X58" s="65">
        <f t="shared" si="83"/>
        <v>0</v>
      </c>
      <c r="Y58" s="65">
        <f t="shared" si="83"/>
        <v>0</v>
      </c>
      <c r="Z58" s="65">
        <f t="shared" si="83"/>
        <v>0</v>
      </c>
      <c r="AA58" s="65">
        <f t="shared" si="83"/>
        <v>0</v>
      </c>
      <c r="AB58" s="65">
        <f t="shared" si="83"/>
        <v>0</v>
      </c>
      <c r="AC58" s="65">
        <f t="shared" si="83"/>
        <v>0</v>
      </c>
      <c r="AD58" s="65">
        <f t="shared" si="83"/>
        <v>0</v>
      </c>
      <c r="AE58" s="65">
        <f t="shared" si="83"/>
        <v>0</v>
      </c>
      <c r="AF58" s="65">
        <f t="shared" si="83"/>
        <v>33.32</v>
      </c>
      <c r="AG58" s="65">
        <f t="shared" si="83"/>
        <v>0</v>
      </c>
      <c r="AH58" s="60"/>
      <c r="AI58" s="78"/>
    </row>
    <row r="59" spans="1:35" s="61" customFormat="1" ht="105.75" customHeight="1" x14ac:dyDescent="0.25">
      <c r="A59" s="106"/>
      <c r="B59" s="116"/>
      <c r="C59" s="71" t="s">
        <v>30</v>
      </c>
      <c r="D59" s="51">
        <f t="shared" ref="D59" si="84">SUM(J59,L59,N59,P59,R59,T59,V59,X59,Z59,AB59,AD59,AF59)</f>
        <v>33.32</v>
      </c>
      <c r="E59" s="65">
        <f>J59+L59+N59+P59+R59+T59+V59+X59+Z59+AB59</f>
        <v>0</v>
      </c>
      <c r="F59" s="65">
        <f>G59</f>
        <v>0</v>
      </c>
      <c r="G59" s="65">
        <f>SUM(K59,M59,O59,Q59,S59,U59,W59,Y59,AA59,AC59,AE59,AG59)</f>
        <v>0</v>
      </c>
      <c r="H59" s="65">
        <f t="shared" si="81"/>
        <v>0</v>
      </c>
      <c r="I59" s="65">
        <f t="shared" si="82"/>
        <v>0</v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>
        <v>33.32</v>
      </c>
      <c r="AG59" s="75">
        <v>0</v>
      </c>
      <c r="AH59" s="60"/>
      <c r="AI59" s="78"/>
    </row>
    <row r="60" spans="1:35" s="61" customFormat="1" ht="33" customHeight="1" x14ac:dyDescent="0.25">
      <c r="A60" s="69"/>
      <c r="B60" s="117" t="s">
        <v>54</v>
      </c>
      <c r="C60" s="64" t="s">
        <v>28</v>
      </c>
      <c r="D60" s="44">
        <f>D62+D61</f>
        <v>1506.3000000000002</v>
      </c>
      <c r="E60" s="80">
        <f t="shared" ref="E60:G60" si="85">E62+E61</f>
        <v>1109.0100000000002</v>
      </c>
      <c r="F60" s="80">
        <f t="shared" si="85"/>
        <v>1316.6</v>
      </c>
      <c r="G60" s="80">
        <f t="shared" si="85"/>
        <v>1316.6</v>
      </c>
      <c r="H60" s="80">
        <f t="shared" si="81"/>
        <v>87.40622717918076</v>
      </c>
      <c r="I60" s="80">
        <f t="shared" si="82"/>
        <v>118.71849667721659</v>
      </c>
      <c r="J60" s="81">
        <f>J62+J61</f>
        <v>27.14</v>
      </c>
      <c r="K60" s="81">
        <f t="shared" ref="K60:AG60" si="86">K62+K61</f>
        <v>0</v>
      </c>
      <c r="L60" s="81">
        <f t="shared" si="86"/>
        <v>0</v>
      </c>
      <c r="M60" s="81">
        <f t="shared" si="86"/>
        <v>27.14</v>
      </c>
      <c r="N60" s="81">
        <f t="shared" si="86"/>
        <v>542.09</v>
      </c>
      <c r="O60" s="81">
        <f t="shared" si="86"/>
        <v>417.09</v>
      </c>
      <c r="P60" s="81">
        <f t="shared" si="86"/>
        <v>207.09</v>
      </c>
      <c r="Q60" s="81">
        <f t="shared" si="86"/>
        <v>58.09</v>
      </c>
      <c r="R60" s="81">
        <f t="shared" si="86"/>
        <v>18.100000000000001</v>
      </c>
      <c r="S60" s="81">
        <f t="shared" si="86"/>
        <v>18.100000000000001</v>
      </c>
      <c r="T60" s="81">
        <f t="shared" si="86"/>
        <v>18.09</v>
      </c>
      <c r="U60" s="81">
        <f t="shared" si="86"/>
        <v>258.08999999999997</v>
      </c>
      <c r="V60" s="81">
        <f t="shared" si="86"/>
        <v>74.81</v>
      </c>
      <c r="W60" s="81">
        <f t="shared" si="86"/>
        <v>8.81</v>
      </c>
      <c r="X60" s="81">
        <f t="shared" si="86"/>
        <v>8.82</v>
      </c>
      <c r="Y60" s="81">
        <f t="shared" si="86"/>
        <v>8.82</v>
      </c>
      <c r="Z60" s="81">
        <f t="shared" si="86"/>
        <v>0</v>
      </c>
      <c r="AA60" s="81">
        <f t="shared" si="86"/>
        <v>0</v>
      </c>
      <c r="AB60" s="81">
        <f t="shared" si="86"/>
        <v>212.87</v>
      </c>
      <c r="AC60" s="81">
        <f t="shared" si="86"/>
        <v>167.96</v>
      </c>
      <c r="AD60" s="81">
        <f t="shared" si="86"/>
        <v>0</v>
      </c>
      <c r="AE60" s="81">
        <f t="shared" si="86"/>
        <v>0</v>
      </c>
      <c r="AF60" s="81">
        <f t="shared" si="86"/>
        <v>397.29</v>
      </c>
      <c r="AG60" s="81">
        <f t="shared" si="86"/>
        <v>352.5</v>
      </c>
      <c r="AH60" s="66"/>
      <c r="AI60" s="78"/>
    </row>
    <row r="61" spans="1:35" s="61" customFormat="1" ht="57.75" customHeight="1" x14ac:dyDescent="0.25">
      <c r="A61" s="69"/>
      <c r="B61" s="117"/>
      <c r="C61" s="71" t="s">
        <v>30</v>
      </c>
      <c r="D61" s="51">
        <f>SUM(J61,L61,N61,P61,R61,T61,V61,X61,Z61,AB61,AD61,AF61)</f>
        <v>0</v>
      </c>
      <c r="E61" s="65">
        <f>J61+L61+N61+P61+R61</f>
        <v>0</v>
      </c>
      <c r="F61" s="65">
        <f>G61</f>
        <v>0</v>
      </c>
      <c r="G61" s="65">
        <f>SUM(K61,M61,O61,Q61,S61,U61,W61,Y61,AA61,AC61,AE61,AG61)</f>
        <v>0</v>
      </c>
      <c r="H61" s="65">
        <f>IFERROR(G61/D61*100,0)</f>
        <v>0</v>
      </c>
      <c r="I61" s="65">
        <f>IFERROR(G61/E61*100,0)</f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66"/>
      <c r="AI61" s="78"/>
    </row>
    <row r="62" spans="1:35" s="61" customFormat="1" ht="39" customHeight="1" x14ac:dyDescent="0.25">
      <c r="A62" s="76"/>
      <c r="B62" s="117"/>
      <c r="C62" s="71" t="s">
        <v>31</v>
      </c>
      <c r="D62" s="51">
        <f>SUM(J62,L62,N62,P62,R62,T62,V62,X62,Z62,AB62,AD62,AF62)</f>
        <v>1506.3000000000002</v>
      </c>
      <c r="E62" s="65">
        <f>J62+L62+N62+P62+R62+T62+V62+X62+Z62+AB62</f>
        <v>1109.0100000000002</v>
      </c>
      <c r="F62" s="65">
        <f>G62</f>
        <v>1316.6</v>
      </c>
      <c r="G62" s="65">
        <f t="shared" ref="G62" si="87">SUM(K62,M62,O62,Q62,S62,U62,W62,Y62,AA62,AC62,AE62,AG62)</f>
        <v>1316.6</v>
      </c>
      <c r="H62" s="65">
        <f>IFERROR(G62/D62*100,0)</f>
        <v>87.40622717918076</v>
      </c>
      <c r="I62" s="65">
        <f>IFERROR(G62/E62*100,0)</f>
        <v>118.71849667721659</v>
      </c>
      <c r="J62" s="75">
        <f>J64+J66</f>
        <v>27.14</v>
      </c>
      <c r="K62" s="75">
        <f t="shared" ref="K62:AG62" si="88">K64+K66</f>
        <v>0</v>
      </c>
      <c r="L62" s="75">
        <f t="shared" si="88"/>
        <v>0</v>
      </c>
      <c r="M62" s="75">
        <f t="shared" si="88"/>
        <v>27.14</v>
      </c>
      <c r="N62" s="75">
        <f t="shared" si="88"/>
        <v>542.09</v>
      </c>
      <c r="O62" s="75">
        <f t="shared" si="88"/>
        <v>417.09</v>
      </c>
      <c r="P62" s="75">
        <f t="shared" si="88"/>
        <v>207.09</v>
      </c>
      <c r="Q62" s="75">
        <f t="shared" si="88"/>
        <v>58.09</v>
      </c>
      <c r="R62" s="75">
        <f>R64+R66</f>
        <v>18.100000000000001</v>
      </c>
      <c r="S62" s="75">
        <f>S64+S66</f>
        <v>18.100000000000001</v>
      </c>
      <c r="T62" s="75">
        <f t="shared" si="88"/>
        <v>18.09</v>
      </c>
      <c r="U62" s="75">
        <f t="shared" si="88"/>
        <v>258.08999999999997</v>
      </c>
      <c r="V62" s="75">
        <f t="shared" si="88"/>
        <v>74.81</v>
      </c>
      <c r="W62" s="75">
        <f t="shared" si="88"/>
        <v>8.81</v>
      </c>
      <c r="X62" s="75">
        <f t="shared" si="88"/>
        <v>8.82</v>
      </c>
      <c r="Y62" s="75">
        <f t="shared" si="88"/>
        <v>8.82</v>
      </c>
      <c r="Z62" s="75">
        <f t="shared" si="88"/>
        <v>0</v>
      </c>
      <c r="AA62" s="75">
        <f t="shared" si="88"/>
        <v>0</v>
      </c>
      <c r="AB62" s="75">
        <f t="shared" si="88"/>
        <v>212.87</v>
      </c>
      <c r="AC62" s="75">
        <f t="shared" si="88"/>
        <v>167.96</v>
      </c>
      <c r="AD62" s="75">
        <f t="shared" si="88"/>
        <v>0</v>
      </c>
      <c r="AE62" s="75">
        <f t="shared" si="88"/>
        <v>0</v>
      </c>
      <c r="AF62" s="75">
        <f t="shared" si="88"/>
        <v>397.29</v>
      </c>
      <c r="AG62" s="75">
        <f t="shared" si="88"/>
        <v>352.5</v>
      </c>
      <c r="AH62" s="66"/>
      <c r="AI62" s="78"/>
    </row>
    <row r="63" spans="1:35" s="61" customFormat="1" ht="54" customHeight="1" x14ac:dyDescent="0.25">
      <c r="A63" s="118"/>
      <c r="B63" s="107" t="s">
        <v>55</v>
      </c>
      <c r="C63" s="64" t="s">
        <v>28</v>
      </c>
      <c r="D63" s="51">
        <f t="shared" ref="D63:AG63" si="89">D64</f>
        <v>904</v>
      </c>
      <c r="E63" s="65">
        <f>E64</f>
        <v>904</v>
      </c>
      <c r="F63" s="65">
        <f t="shared" ref="F63:F65" si="90">G63</f>
        <v>889</v>
      </c>
      <c r="G63" s="65">
        <f>G64</f>
        <v>889</v>
      </c>
      <c r="H63" s="65">
        <f t="shared" ref="H63:H67" si="91">IFERROR(G63/D63*100,0)</f>
        <v>98.340707964601776</v>
      </c>
      <c r="I63" s="65">
        <f t="shared" ref="I63:I67" si="92">IFERROR(G63/E63*100,0)</f>
        <v>98.340707964601776</v>
      </c>
      <c r="J63" s="65">
        <f t="shared" si="89"/>
        <v>0</v>
      </c>
      <c r="K63" s="65">
        <f t="shared" si="89"/>
        <v>0</v>
      </c>
      <c r="L63" s="65">
        <f t="shared" si="89"/>
        <v>0</v>
      </c>
      <c r="M63" s="65">
        <f t="shared" si="89"/>
        <v>0</v>
      </c>
      <c r="N63" s="65">
        <f t="shared" si="89"/>
        <v>524</v>
      </c>
      <c r="O63" s="65">
        <f t="shared" si="89"/>
        <v>399</v>
      </c>
      <c r="P63" s="65">
        <f t="shared" si="89"/>
        <v>189</v>
      </c>
      <c r="Q63" s="65">
        <f t="shared" si="89"/>
        <v>40</v>
      </c>
      <c r="R63" s="65">
        <f t="shared" si="89"/>
        <v>0</v>
      </c>
      <c r="S63" s="65">
        <f t="shared" si="89"/>
        <v>0</v>
      </c>
      <c r="T63" s="65">
        <f t="shared" si="89"/>
        <v>0</v>
      </c>
      <c r="U63" s="65">
        <f t="shared" si="89"/>
        <v>240</v>
      </c>
      <c r="V63" s="65">
        <f t="shared" si="89"/>
        <v>66</v>
      </c>
      <c r="W63" s="65">
        <f t="shared" si="89"/>
        <v>0</v>
      </c>
      <c r="X63" s="65">
        <f t="shared" si="89"/>
        <v>0</v>
      </c>
      <c r="Y63" s="65">
        <f t="shared" si="89"/>
        <v>0</v>
      </c>
      <c r="Z63" s="65">
        <f t="shared" si="89"/>
        <v>0</v>
      </c>
      <c r="AA63" s="65">
        <f t="shared" si="89"/>
        <v>0</v>
      </c>
      <c r="AB63" s="65">
        <f t="shared" si="89"/>
        <v>0</v>
      </c>
      <c r="AC63" s="65">
        <f t="shared" si="89"/>
        <v>0</v>
      </c>
      <c r="AD63" s="65">
        <f t="shared" si="89"/>
        <v>0</v>
      </c>
      <c r="AE63" s="65">
        <f t="shared" si="89"/>
        <v>0</v>
      </c>
      <c r="AF63" s="65">
        <f t="shared" si="89"/>
        <v>125</v>
      </c>
      <c r="AG63" s="65">
        <f t="shared" si="89"/>
        <v>210</v>
      </c>
      <c r="AH63" s="66"/>
      <c r="AI63" s="78"/>
    </row>
    <row r="64" spans="1:35" s="61" customFormat="1" ht="84" customHeight="1" x14ac:dyDescent="0.25">
      <c r="A64" s="118"/>
      <c r="B64" s="107"/>
      <c r="C64" s="71" t="s">
        <v>31</v>
      </c>
      <c r="D64" s="51">
        <f t="shared" ref="D64" si="93">SUM(J64,L64,N64,P64,R64,T64,V64,X64,Z64,AB64,AD64,AF64)</f>
        <v>904</v>
      </c>
      <c r="E64" s="65">
        <f>J64+L64+N64+P64+R64+T64+V64+X64+Z64+AB64+AD64+AF64</f>
        <v>904</v>
      </c>
      <c r="F64" s="65">
        <f t="shared" si="90"/>
        <v>889</v>
      </c>
      <c r="G64" s="65">
        <f>SUM(K64,M64,O64,Q64,S64,U64,W64,Y64,AA64,AC64,AE64,AG64)</f>
        <v>889</v>
      </c>
      <c r="H64" s="65">
        <f t="shared" si="91"/>
        <v>98.340707964601776</v>
      </c>
      <c r="I64" s="65">
        <f t="shared" si="92"/>
        <v>98.340707964601776</v>
      </c>
      <c r="J64" s="75">
        <v>0</v>
      </c>
      <c r="K64" s="75">
        <v>0</v>
      </c>
      <c r="L64" s="75">
        <v>0</v>
      </c>
      <c r="M64" s="75">
        <v>0</v>
      </c>
      <c r="N64" s="75">
        <f>350+174</f>
        <v>524</v>
      </c>
      <c r="O64" s="75">
        <v>399</v>
      </c>
      <c r="P64" s="75">
        <v>189</v>
      </c>
      <c r="Q64" s="75">
        <v>40</v>
      </c>
      <c r="R64" s="75">
        <v>0</v>
      </c>
      <c r="S64" s="75">
        <v>0</v>
      </c>
      <c r="T64" s="75">
        <v>0</v>
      </c>
      <c r="U64" s="75">
        <v>240</v>
      </c>
      <c r="V64" s="75">
        <f>240-174</f>
        <v>66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125</v>
      </c>
      <c r="AG64" s="75">
        <v>210</v>
      </c>
      <c r="AH64" s="66"/>
      <c r="AI64" s="78"/>
    </row>
    <row r="65" spans="1:35" s="61" customFormat="1" ht="33" customHeight="1" x14ac:dyDescent="0.25">
      <c r="A65" s="118"/>
      <c r="B65" s="119" t="s">
        <v>56</v>
      </c>
      <c r="C65" s="64" t="s">
        <v>28</v>
      </c>
      <c r="D65" s="51">
        <f t="shared" ref="D65:E65" si="94">D66</f>
        <v>602.29999999999995</v>
      </c>
      <c r="E65" s="65">
        <f t="shared" si="94"/>
        <v>602.29999999999995</v>
      </c>
      <c r="F65" s="65">
        <f t="shared" si="90"/>
        <v>427.6</v>
      </c>
      <c r="G65" s="65">
        <f>G66</f>
        <v>427.6</v>
      </c>
      <c r="H65" s="65">
        <f t="shared" si="91"/>
        <v>70.994521002822523</v>
      </c>
      <c r="I65" s="65">
        <f t="shared" si="92"/>
        <v>70.994521002822523</v>
      </c>
      <c r="J65" s="65">
        <f t="shared" ref="J65:AG65" si="95">J66</f>
        <v>27.14</v>
      </c>
      <c r="K65" s="65">
        <f t="shared" si="95"/>
        <v>0</v>
      </c>
      <c r="L65" s="65">
        <f t="shared" si="95"/>
        <v>0</v>
      </c>
      <c r="M65" s="65">
        <f t="shared" si="95"/>
        <v>27.14</v>
      </c>
      <c r="N65" s="65">
        <f t="shared" si="95"/>
        <v>18.09</v>
      </c>
      <c r="O65" s="65">
        <f t="shared" si="95"/>
        <v>18.09</v>
      </c>
      <c r="P65" s="65">
        <f t="shared" si="95"/>
        <v>18.09</v>
      </c>
      <c r="Q65" s="65">
        <f t="shared" si="95"/>
        <v>18.09</v>
      </c>
      <c r="R65" s="65">
        <f t="shared" si="95"/>
        <v>18.100000000000001</v>
      </c>
      <c r="S65" s="65">
        <f t="shared" si="95"/>
        <v>18.100000000000001</v>
      </c>
      <c r="T65" s="65">
        <f t="shared" si="95"/>
        <v>18.09</v>
      </c>
      <c r="U65" s="65">
        <f t="shared" si="95"/>
        <v>18.09</v>
      </c>
      <c r="V65" s="65">
        <f t="shared" si="95"/>
        <v>8.8099999999999987</v>
      </c>
      <c r="W65" s="65">
        <f t="shared" si="95"/>
        <v>8.81</v>
      </c>
      <c r="X65" s="65">
        <f t="shared" si="95"/>
        <v>8.82</v>
      </c>
      <c r="Y65" s="65">
        <f t="shared" si="95"/>
        <v>8.82</v>
      </c>
      <c r="Z65" s="65">
        <v>9</v>
      </c>
      <c r="AA65" s="65">
        <v>9</v>
      </c>
      <c r="AB65" s="65">
        <f t="shared" si="95"/>
        <v>212.87</v>
      </c>
      <c r="AC65" s="65">
        <f t="shared" si="95"/>
        <v>167.96</v>
      </c>
      <c r="AD65" s="65">
        <f t="shared" si="95"/>
        <v>0</v>
      </c>
      <c r="AE65" s="65">
        <f t="shared" si="95"/>
        <v>0</v>
      </c>
      <c r="AF65" s="65">
        <f t="shared" si="95"/>
        <v>272.29000000000002</v>
      </c>
      <c r="AG65" s="65">
        <f t="shared" si="95"/>
        <v>142.5</v>
      </c>
      <c r="AH65" s="66"/>
      <c r="AI65" s="78"/>
    </row>
    <row r="66" spans="1:35" s="61" customFormat="1" ht="35.25" customHeight="1" x14ac:dyDescent="0.25">
      <c r="A66" s="118"/>
      <c r="B66" s="119"/>
      <c r="C66" s="71" t="s">
        <v>31</v>
      </c>
      <c r="D66" s="51">
        <f t="shared" ref="D66" si="96">SUM(J66,L66,N66,P66,R66,T66,V66,X66,Z66,AB66,AD66,AF66)</f>
        <v>602.29999999999995</v>
      </c>
      <c r="E66" s="65">
        <f>J66+L66+N66+P66+R66+T66+V66+X66+Z66+AB66+AD66+AF66</f>
        <v>602.29999999999995</v>
      </c>
      <c r="F66" s="65">
        <f>G66</f>
        <v>427.6</v>
      </c>
      <c r="G66" s="65">
        <f>SUM(K66,M66,O66,Q66,S66,U66,W66,Y66,AA66,AC66,AE66,AG66)</f>
        <v>427.6</v>
      </c>
      <c r="H66" s="65">
        <f t="shared" si="91"/>
        <v>70.994521002822523</v>
      </c>
      <c r="I66" s="65">
        <f t="shared" si="92"/>
        <v>70.994521002822523</v>
      </c>
      <c r="J66" s="75">
        <v>27.14</v>
      </c>
      <c r="K66" s="75">
        <v>0</v>
      </c>
      <c r="L66" s="75">
        <v>0</v>
      </c>
      <c r="M66" s="75">
        <v>27.14</v>
      </c>
      <c r="N66" s="75">
        <v>18.09</v>
      </c>
      <c r="O66" s="75">
        <v>18.09</v>
      </c>
      <c r="P66" s="75">
        <v>18.09</v>
      </c>
      <c r="Q66" s="75">
        <v>18.09</v>
      </c>
      <c r="R66" s="75">
        <v>18.100000000000001</v>
      </c>
      <c r="S66" s="75">
        <v>18.100000000000001</v>
      </c>
      <c r="T66" s="75">
        <v>18.09</v>
      </c>
      <c r="U66" s="75">
        <v>18.09</v>
      </c>
      <c r="V66" s="75">
        <f>45-18.09-18.1</f>
        <v>8.8099999999999987</v>
      </c>
      <c r="W66" s="75">
        <v>8.81</v>
      </c>
      <c r="X66" s="75">
        <f>45-18.09-18.09</f>
        <v>8.82</v>
      </c>
      <c r="Y66" s="75">
        <v>8.82</v>
      </c>
      <c r="Z66" s="75">
        <v>0</v>
      </c>
      <c r="AA66" s="75">
        <v>0</v>
      </c>
      <c r="AB66" s="75">
        <f>167.87+45</f>
        <v>212.87</v>
      </c>
      <c r="AC66" s="75">
        <v>167.96</v>
      </c>
      <c r="AD66" s="75">
        <v>0</v>
      </c>
      <c r="AE66" s="75">
        <v>0</v>
      </c>
      <c r="AF66" s="75">
        <f>440.16-167.87</f>
        <v>272.29000000000002</v>
      </c>
      <c r="AG66" s="75">
        <v>142.5</v>
      </c>
      <c r="AH66" s="66"/>
      <c r="AI66" s="78"/>
    </row>
    <row r="67" spans="1:35" s="61" customFormat="1" ht="38.25" customHeight="1" x14ac:dyDescent="0.25">
      <c r="A67" s="62"/>
      <c r="B67" s="120" t="s">
        <v>57</v>
      </c>
      <c r="C67" s="64" t="s">
        <v>28</v>
      </c>
      <c r="D67" s="44">
        <f>D70+D69+D68</f>
        <v>250499.69900000002</v>
      </c>
      <c r="E67" s="44">
        <f t="shared" ref="E67:G67" si="97">E70+E69+E68</f>
        <v>250499.69900000002</v>
      </c>
      <c r="F67" s="44">
        <f>F70+F69+F68</f>
        <v>235148.40400000001</v>
      </c>
      <c r="G67" s="44">
        <f t="shared" si="97"/>
        <v>235148.40400000001</v>
      </c>
      <c r="H67" s="80">
        <f t="shared" si="91"/>
        <v>93.871731159245826</v>
      </c>
      <c r="I67" s="80">
        <f t="shared" si="92"/>
        <v>93.871731159245826</v>
      </c>
      <c r="J67" s="81">
        <f>J70+J69+J68</f>
        <v>13495.745999999999</v>
      </c>
      <c r="K67" s="81">
        <f t="shared" ref="K67:AG67" si="98">K70+K69+K68</f>
        <v>6967.3320000000003</v>
      </c>
      <c r="L67" s="81">
        <f t="shared" si="98"/>
        <v>31844.449999999997</v>
      </c>
      <c r="M67" s="81">
        <f t="shared" si="98"/>
        <v>34115.664000000004</v>
      </c>
      <c r="N67" s="81">
        <f t="shared" si="98"/>
        <v>34334.788</v>
      </c>
      <c r="O67" s="81">
        <f t="shared" si="98"/>
        <v>38194.35</v>
      </c>
      <c r="P67" s="81">
        <f t="shared" si="98"/>
        <v>27138.213</v>
      </c>
      <c r="Q67" s="81">
        <f t="shared" si="98"/>
        <v>19869.21</v>
      </c>
      <c r="R67" s="81">
        <f t="shared" si="98"/>
        <v>26427.764999999999</v>
      </c>
      <c r="S67" s="81">
        <f t="shared" si="98"/>
        <v>31463.160000000003</v>
      </c>
      <c r="T67" s="81">
        <f t="shared" si="98"/>
        <v>9163.9939999999988</v>
      </c>
      <c r="U67" s="81">
        <f t="shared" si="98"/>
        <v>9708.85</v>
      </c>
      <c r="V67" s="81">
        <f t="shared" si="98"/>
        <v>0</v>
      </c>
      <c r="W67" s="81">
        <f t="shared" si="98"/>
        <v>0</v>
      </c>
      <c r="X67" s="81">
        <f t="shared" si="98"/>
        <v>0</v>
      </c>
      <c r="Y67" s="81">
        <f t="shared" si="98"/>
        <v>0</v>
      </c>
      <c r="Z67" s="81">
        <f t="shared" si="98"/>
        <v>16342.246000000001</v>
      </c>
      <c r="AA67" s="81">
        <f t="shared" si="98"/>
        <v>13607.411</v>
      </c>
      <c r="AB67" s="81">
        <f t="shared" si="98"/>
        <v>50038.326000000008</v>
      </c>
      <c r="AC67" s="81">
        <f t="shared" si="98"/>
        <v>35115.969999999994</v>
      </c>
      <c r="AD67" s="81">
        <f t="shared" si="98"/>
        <v>34469.411</v>
      </c>
      <c r="AE67" s="81">
        <f t="shared" si="98"/>
        <v>30411.897000000001</v>
      </c>
      <c r="AF67" s="81">
        <f t="shared" si="98"/>
        <v>7244.76</v>
      </c>
      <c r="AG67" s="81">
        <f t="shared" si="98"/>
        <v>15694.560000000001</v>
      </c>
      <c r="AH67" s="66"/>
      <c r="AI67" s="78"/>
    </row>
    <row r="68" spans="1:35" s="61" customFormat="1" ht="38.25" customHeight="1" x14ac:dyDescent="0.25">
      <c r="A68" s="69"/>
      <c r="B68" s="121"/>
      <c r="C68" s="71" t="s">
        <v>29</v>
      </c>
      <c r="D68" s="51">
        <f>SUM(J68,L68,N68,P68,R68,T68,V68,X68,Z68,AB68,AD68,AF68)</f>
        <v>20651.996000000003</v>
      </c>
      <c r="E68" s="65">
        <f>J68+L68+N68+P68+R68+T68+V68+X68+Z68+AB68+AD68+AF68</f>
        <v>20651.996000000003</v>
      </c>
      <c r="F68" s="65">
        <f>G68</f>
        <v>19884.305</v>
      </c>
      <c r="G68" s="65">
        <f>SUM(K68,M68,O68,Q68,S68,U68,W68,Y68,AA68,AC68,AE68,AG68)</f>
        <v>19884.305</v>
      </c>
      <c r="H68" s="65">
        <f>IFERROR(G68/D68*100,0)</f>
        <v>96.282727345095353</v>
      </c>
      <c r="I68" s="65">
        <f>IFERROR(G68/E68*100,0)</f>
        <v>96.282727345095353</v>
      </c>
      <c r="J68" s="75"/>
      <c r="K68" s="75">
        <v>0</v>
      </c>
      <c r="L68" s="75">
        <v>2950.25</v>
      </c>
      <c r="M68" s="75">
        <v>2950.25</v>
      </c>
      <c r="N68" s="75">
        <v>2582.19</v>
      </c>
      <c r="O68" s="75">
        <v>2582.19</v>
      </c>
      <c r="P68" s="75">
        <v>2701.1570000000002</v>
      </c>
      <c r="Q68" s="75">
        <v>2189.46</v>
      </c>
      <c r="R68" s="75">
        <v>1562.4680000000001</v>
      </c>
      <c r="S68" s="75">
        <v>2299.88</v>
      </c>
      <c r="T68" s="75">
        <f>882.74+346.155-207.25</f>
        <v>1021.645</v>
      </c>
      <c r="U68" s="75">
        <v>795.93</v>
      </c>
      <c r="V68" s="75">
        <v>0</v>
      </c>
      <c r="W68" s="75">
        <v>0</v>
      </c>
      <c r="X68" s="75">
        <v>0</v>
      </c>
      <c r="Y68" s="75">
        <v>0</v>
      </c>
      <c r="Z68" s="75">
        <v>1758.44</v>
      </c>
      <c r="AA68" s="75">
        <v>1758.44</v>
      </c>
      <c r="AB68" s="75">
        <f>855.69+3055.941</f>
        <v>3911.6309999999999</v>
      </c>
      <c r="AC68" s="75">
        <v>1290.27</v>
      </c>
      <c r="AD68" s="75">
        <v>2831.2150000000001</v>
      </c>
      <c r="AE68" s="75">
        <v>2832.2150000000001</v>
      </c>
      <c r="AF68" s="75">
        <v>1333</v>
      </c>
      <c r="AG68" s="75">
        <v>3185.67</v>
      </c>
      <c r="AH68" s="60" t="s">
        <v>58</v>
      </c>
      <c r="AI68" s="78"/>
    </row>
    <row r="69" spans="1:35" s="61" customFormat="1" ht="58.5" customHeight="1" x14ac:dyDescent="0.25">
      <c r="A69" s="69"/>
      <c r="B69" s="121"/>
      <c r="C69" s="71" t="s">
        <v>30</v>
      </c>
      <c r="D69" s="51">
        <f>SUM(J69,L69,N69,P69,R69,T69,V69,X69,Z69,AB69,AD69,AF69)</f>
        <v>195216.69900000002</v>
      </c>
      <c r="E69" s="65">
        <f t="shared" ref="E69:E70" si="99">J69+L69+N69+P69+R69+T69+V69+X69+Z69+AB69+AD69+AF69</f>
        <v>195216.69900000002</v>
      </c>
      <c r="F69" s="65">
        <f>G69</f>
        <v>193754.20300000001</v>
      </c>
      <c r="G69" s="65">
        <f>SUM(K69,M69,O69,Q69,S69,U69,W69,Y69,AA69,AC69,AE69,AG69)</f>
        <v>193754.20300000001</v>
      </c>
      <c r="H69" s="65">
        <f>IFERROR(G69/D69*100,0)</f>
        <v>99.250834581523165</v>
      </c>
      <c r="I69" s="65">
        <f>IFERROR(G69/E69*100,0)</f>
        <v>99.250834581523165</v>
      </c>
      <c r="J69" s="75">
        <v>10826.804</v>
      </c>
      <c r="K69" s="75">
        <v>5045.0659999999998</v>
      </c>
      <c r="L69" s="75">
        <v>23970.313999999998</v>
      </c>
      <c r="M69" s="75">
        <v>26319.394</v>
      </c>
      <c r="N69" s="75">
        <f>5000+23329.435</f>
        <v>28329.435000000001</v>
      </c>
      <c r="O69" s="75">
        <v>31364.46</v>
      </c>
      <c r="P69" s="75">
        <v>20247.016</v>
      </c>
      <c r="Q69" s="75">
        <v>13781.52</v>
      </c>
      <c r="R69" s="75">
        <v>20800.191999999999</v>
      </c>
      <c r="S69" s="75">
        <v>25250.06</v>
      </c>
      <c r="T69" s="75">
        <f>11518.371-5000</f>
        <v>6518.3709999999992</v>
      </c>
      <c r="U69" s="75">
        <v>6845.25</v>
      </c>
      <c r="V69" s="75">
        <v>0</v>
      </c>
      <c r="W69" s="75">
        <v>0</v>
      </c>
      <c r="X69" s="75">
        <v>0</v>
      </c>
      <c r="Y69" s="75">
        <v>0</v>
      </c>
      <c r="Z69" s="75">
        <v>11748.971</v>
      </c>
      <c r="AA69" s="75">
        <v>11748.971</v>
      </c>
      <c r="AB69" s="75">
        <f>22371.06+20744.464</f>
        <v>43115.524000000005</v>
      </c>
      <c r="AC69" s="75">
        <v>33625.699999999997</v>
      </c>
      <c r="AD69" s="75">
        <f>7441.64+20038.042</f>
        <v>27479.682000000001</v>
      </c>
      <c r="AE69" s="75">
        <f>7441.64+20038.042</f>
        <v>27479.682000000001</v>
      </c>
      <c r="AF69" s="75">
        <v>2180.39</v>
      </c>
      <c r="AG69" s="75">
        <v>12294.1</v>
      </c>
      <c r="AH69" s="75"/>
      <c r="AI69" s="78"/>
    </row>
    <row r="70" spans="1:35" s="61" customFormat="1" ht="45.75" customHeight="1" x14ac:dyDescent="0.25">
      <c r="A70" s="76"/>
      <c r="B70" s="122"/>
      <c r="C70" s="71" t="s">
        <v>31</v>
      </c>
      <c r="D70" s="51">
        <f>SUM(J70,L70,N70,P70,R70,T70,V70,X70,Z70,AB70,AD70,AF70)</f>
        <v>34631.003999999994</v>
      </c>
      <c r="E70" s="65">
        <f t="shared" si="99"/>
        <v>34631.003999999994</v>
      </c>
      <c r="F70" s="65">
        <f>G70</f>
        <v>21509.896000000001</v>
      </c>
      <c r="G70" s="65">
        <f>SUM(K70,M70,O70,Q70,S70,U70,W70,Y70,AA70,AC70,AE70,AG70)</f>
        <v>21509.896000000001</v>
      </c>
      <c r="H70" s="65">
        <f>IFERROR(G70/D70*100,0)</f>
        <v>62.111673112336</v>
      </c>
      <c r="I70" s="65">
        <f>IFERROR(G70/E70*100,0)</f>
        <v>62.111673112336</v>
      </c>
      <c r="J70" s="75">
        <v>2668.942</v>
      </c>
      <c r="K70" s="75">
        <v>1922.2660000000001</v>
      </c>
      <c r="L70" s="75">
        <v>4923.8860000000004</v>
      </c>
      <c r="M70" s="75">
        <v>4846.0200000000004</v>
      </c>
      <c r="N70" s="75">
        <f>4459.913-1036.75</f>
        <v>3423.1629999999996</v>
      </c>
      <c r="O70" s="75">
        <v>4247.7</v>
      </c>
      <c r="P70" s="75">
        <v>4190.04</v>
      </c>
      <c r="Q70" s="75">
        <v>3898.23</v>
      </c>
      <c r="R70" s="75">
        <v>4065.105</v>
      </c>
      <c r="S70" s="75">
        <v>3913.22</v>
      </c>
      <c r="T70" s="75">
        <f>2353.288-1036.75+307.44</f>
        <v>1623.9780000000001</v>
      </c>
      <c r="U70" s="75">
        <v>2067.67</v>
      </c>
      <c r="V70" s="75">
        <v>0</v>
      </c>
      <c r="W70" s="75">
        <v>0</v>
      </c>
      <c r="X70" s="75">
        <v>0</v>
      </c>
      <c r="Y70" s="75">
        <v>0</v>
      </c>
      <c r="Z70" s="75">
        <v>2834.835</v>
      </c>
      <c r="AA70" s="75">
        <v>100</v>
      </c>
      <c r="AB70" s="75">
        <f>4507.231-307.44-1188.62</f>
        <v>3011.1710000000003</v>
      </c>
      <c r="AC70" s="75">
        <v>200</v>
      </c>
      <c r="AD70" s="75">
        <v>4158.5140000000001</v>
      </c>
      <c r="AE70" s="75">
        <v>100</v>
      </c>
      <c r="AF70" s="75">
        <v>3731.37</v>
      </c>
      <c r="AG70" s="75">
        <v>214.79</v>
      </c>
      <c r="AH70" s="66"/>
      <c r="AI70" s="78"/>
    </row>
    <row r="71" spans="1:35" s="61" customFormat="1" ht="32.25" customHeight="1" x14ac:dyDescent="0.25">
      <c r="A71" s="123"/>
      <c r="B71" s="57" t="s">
        <v>59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9"/>
      <c r="AH71" s="97"/>
      <c r="AI71" s="78"/>
    </row>
    <row r="72" spans="1:35" s="68" customFormat="1" ht="23.25" customHeight="1" x14ac:dyDescent="0.25">
      <c r="A72" s="62" t="s">
        <v>60</v>
      </c>
      <c r="B72" s="63" t="s">
        <v>61</v>
      </c>
      <c r="C72" s="64" t="s">
        <v>28</v>
      </c>
      <c r="D72" s="44">
        <f>D74+D75+D73</f>
        <v>60670.512000000002</v>
      </c>
      <c r="E72" s="44">
        <f t="shared" ref="E72:G72" si="100">E74+E75+E73</f>
        <v>60670.512000000002</v>
      </c>
      <c r="F72" s="44">
        <f t="shared" si="100"/>
        <v>58375.259999999995</v>
      </c>
      <c r="G72" s="44">
        <f t="shared" si="100"/>
        <v>58375.259999999995</v>
      </c>
      <c r="H72" s="80">
        <f t="shared" ref="H72:H93" si="101">IFERROR(G72/D72*100,0)</f>
        <v>96.216857375457778</v>
      </c>
      <c r="I72" s="80">
        <f t="shared" ref="I72:I93" si="102">IFERROR(G72/E72*100,0)</f>
        <v>96.216857375457778</v>
      </c>
      <c r="J72" s="80">
        <f t="shared" ref="J72:AG72" si="103">J74+J75+J73</f>
        <v>518.59899999999993</v>
      </c>
      <c r="K72" s="80">
        <f t="shared" si="103"/>
        <v>418.6</v>
      </c>
      <c r="L72" s="80">
        <f t="shared" si="103"/>
        <v>81.510000000000005</v>
      </c>
      <c r="M72" s="80">
        <f t="shared" si="103"/>
        <v>111.495</v>
      </c>
      <c r="N72" s="80">
        <f t="shared" si="103"/>
        <v>1447.12</v>
      </c>
      <c r="O72" s="80">
        <f t="shared" si="103"/>
        <v>1447.1189999999999</v>
      </c>
      <c r="P72" s="80">
        <f t="shared" si="103"/>
        <v>19599.059999999998</v>
      </c>
      <c r="Q72" s="80">
        <f t="shared" si="103"/>
        <v>17229.14</v>
      </c>
      <c r="R72" s="80">
        <f t="shared" si="103"/>
        <v>2835.0949999999998</v>
      </c>
      <c r="S72" s="80">
        <f t="shared" si="103"/>
        <v>2121.08</v>
      </c>
      <c r="T72" s="80">
        <f t="shared" si="103"/>
        <v>13929.158000000001</v>
      </c>
      <c r="U72" s="80">
        <f t="shared" si="103"/>
        <v>11388.236000000001</v>
      </c>
      <c r="V72" s="80">
        <f t="shared" si="103"/>
        <v>10798.150000000001</v>
      </c>
      <c r="W72" s="80">
        <f t="shared" si="103"/>
        <v>10798.15</v>
      </c>
      <c r="X72" s="80">
        <f t="shared" si="103"/>
        <v>5000</v>
      </c>
      <c r="Y72" s="80">
        <f t="shared" si="103"/>
        <v>5000</v>
      </c>
      <c r="Z72" s="80">
        <f t="shared" si="103"/>
        <v>5243.55</v>
      </c>
      <c r="AA72" s="80">
        <f t="shared" si="103"/>
        <v>5159.09</v>
      </c>
      <c r="AB72" s="80">
        <f t="shared" si="103"/>
        <v>1218.27</v>
      </c>
      <c r="AC72" s="80">
        <f t="shared" si="103"/>
        <v>832.64</v>
      </c>
      <c r="AD72" s="80">
        <f t="shared" si="103"/>
        <v>0</v>
      </c>
      <c r="AE72" s="80">
        <f t="shared" si="103"/>
        <v>3869.71</v>
      </c>
      <c r="AF72" s="80">
        <f t="shared" si="103"/>
        <v>0</v>
      </c>
      <c r="AG72" s="80">
        <f t="shared" si="103"/>
        <v>0</v>
      </c>
      <c r="AH72" s="66"/>
      <c r="AI72" s="67"/>
    </row>
    <row r="73" spans="1:35" s="68" customFormat="1" ht="24.75" hidden="1" customHeight="1" x14ac:dyDescent="0.25">
      <c r="A73" s="69"/>
      <c r="B73" s="70"/>
      <c r="C73" s="71" t="s">
        <v>29</v>
      </c>
      <c r="D73" s="51">
        <f>SUM(J73,L73,N73,P73,R73,T73,V73,X73,Z73,AB73,AD73,AF73)</f>
        <v>0</v>
      </c>
      <c r="E73" s="65">
        <f>J73</f>
        <v>0</v>
      </c>
      <c r="F73" s="65">
        <f>G73</f>
        <v>0</v>
      </c>
      <c r="G73" s="65">
        <f>SUM(K73,M73,O73,Q73,S73,U73,W73,Y73,AA73,AC73,AE73,AG73)</f>
        <v>0</v>
      </c>
      <c r="H73" s="65">
        <f t="shared" si="101"/>
        <v>0</v>
      </c>
      <c r="I73" s="65">
        <f t="shared" si="102"/>
        <v>0</v>
      </c>
      <c r="J73" s="65">
        <f>J77</f>
        <v>0</v>
      </c>
      <c r="K73" s="65">
        <f t="shared" ref="K73:AG74" si="104">K77</f>
        <v>0</v>
      </c>
      <c r="L73" s="65">
        <f t="shared" si="104"/>
        <v>0</v>
      </c>
      <c r="M73" s="65">
        <f t="shared" si="104"/>
        <v>0</v>
      </c>
      <c r="N73" s="65">
        <f t="shared" si="104"/>
        <v>0</v>
      </c>
      <c r="O73" s="65">
        <f t="shared" si="104"/>
        <v>0</v>
      </c>
      <c r="P73" s="65">
        <f t="shared" si="104"/>
        <v>0</v>
      </c>
      <c r="Q73" s="65">
        <f t="shared" si="104"/>
        <v>0</v>
      </c>
      <c r="R73" s="65">
        <f t="shared" si="104"/>
        <v>0</v>
      </c>
      <c r="S73" s="65">
        <f t="shared" si="104"/>
        <v>0</v>
      </c>
      <c r="T73" s="65">
        <f t="shared" si="104"/>
        <v>0</v>
      </c>
      <c r="U73" s="65">
        <f t="shared" si="104"/>
        <v>0</v>
      </c>
      <c r="V73" s="65">
        <f t="shared" si="104"/>
        <v>0</v>
      </c>
      <c r="W73" s="65">
        <f t="shared" si="104"/>
        <v>0</v>
      </c>
      <c r="X73" s="65">
        <f t="shared" si="104"/>
        <v>0</v>
      </c>
      <c r="Y73" s="65">
        <f t="shared" si="104"/>
        <v>0</v>
      </c>
      <c r="Z73" s="65">
        <f t="shared" si="104"/>
        <v>0</v>
      </c>
      <c r="AA73" s="65">
        <f t="shared" si="104"/>
        <v>0</v>
      </c>
      <c r="AB73" s="65">
        <f t="shared" si="104"/>
        <v>0</v>
      </c>
      <c r="AC73" s="65">
        <f t="shared" si="104"/>
        <v>0</v>
      </c>
      <c r="AD73" s="65">
        <f t="shared" si="104"/>
        <v>0</v>
      </c>
      <c r="AE73" s="65">
        <f t="shared" si="104"/>
        <v>0</v>
      </c>
      <c r="AF73" s="65">
        <f t="shared" si="104"/>
        <v>0</v>
      </c>
      <c r="AG73" s="65">
        <f t="shared" si="104"/>
        <v>0</v>
      </c>
      <c r="AH73" s="66"/>
      <c r="AI73" s="67"/>
    </row>
    <row r="74" spans="1:35" s="68" customFormat="1" ht="37.5" customHeight="1" x14ac:dyDescent="0.25">
      <c r="A74" s="69"/>
      <c r="B74" s="70"/>
      <c r="C74" s="71" t="s">
        <v>30</v>
      </c>
      <c r="D74" s="51">
        <f>SUM(J74,L74,N74,P74,R74,T74,V74,X74,Z74,AB74,AD74,AF74)</f>
        <v>32627.203000000001</v>
      </c>
      <c r="E74" s="65">
        <f>J74+L74+N74+P74+R74+T74+V74+X74+Z74+AB74</f>
        <v>32627.203000000001</v>
      </c>
      <c r="F74" s="65">
        <f>G74</f>
        <v>32154.499999999996</v>
      </c>
      <c r="G74" s="65">
        <f>SUM(K74,M74,O74,Q74,S74,U74,W74,Y74,AA74,AC74,AE74,AG74)</f>
        <v>32154.499999999996</v>
      </c>
      <c r="H74" s="65">
        <f t="shared" si="101"/>
        <v>98.551199745807182</v>
      </c>
      <c r="I74" s="65">
        <f t="shared" si="102"/>
        <v>98.551199745807182</v>
      </c>
      <c r="J74" s="75">
        <f>J78</f>
        <v>414.19299999999998</v>
      </c>
      <c r="K74" s="75">
        <f t="shared" si="104"/>
        <v>314.19</v>
      </c>
      <c r="L74" s="75">
        <f t="shared" si="104"/>
        <v>81.510000000000005</v>
      </c>
      <c r="M74" s="75">
        <f t="shared" si="104"/>
        <v>111.495</v>
      </c>
      <c r="N74" s="75">
        <f t="shared" si="104"/>
        <v>235.59</v>
      </c>
      <c r="O74" s="75">
        <f t="shared" si="104"/>
        <v>235.589</v>
      </c>
      <c r="P74" s="75">
        <f t="shared" si="104"/>
        <v>13699.06</v>
      </c>
      <c r="Q74" s="75">
        <f t="shared" si="104"/>
        <v>11329.14</v>
      </c>
      <c r="R74" s="75">
        <f t="shared" si="104"/>
        <v>805.14</v>
      </c>
      <c r="S74" s="75">
        <f t="shared" si="104"/>
        <v>805.14</v>
      </c>
      <c r="T74" s="75">
        <f t="shared" si="104"/>
        <v>28.79</v>
      </c>
      <c r="U74" s="75">
        <f t="shared" si="104"/>
        <v>28.786000000000001</v>
      </c>
      <c r="V74" s="75">
        <f t="shared" si="104"/>
        <v>10144.650000000001</v>
      </c>
      <c r="W74" s="75">
        <f t="shared" si="104"/>
        <v>10144.65</v>
      </c>
      <c r="X74" s="75">
        <f t="shared" si="104"/>
        <v>3000</v>
      </c>
      <c r="Y74" s="75">
        <f t="shared" si="104"/>
        <v>3000</v>
      </c>
      <c r="Z74" s="75">
        <f t="shared" si="104"/>
        <v>3000</v>
      </c>
      <c r="AA74" s="75">
        <f t="shared" si="104"/>
        <v>3000</v>
      </c>
      <c r="AB74" s="75">
        <f t="shared" si="104"/>
        <v>1218.27</v>
      </c>
      <c r="AC74" s="75">
        <f t="shared" si="104"/>
        <v>832.64</v>
      </c>
      <c r="AD74" s="75">
        <f t="shared" si="104"/>
        <v>0</v>
      </c>
      <c r="AE74" s="75">
        <f t="shared" si="104"/>
        <v>2352.87</v>
      </c>
      <c r="AF74" s="75">
        <f t="shared" si="104"/>
        <v>0</v>
      </c>
      <c r="AG74" s="75">
        <f t="shared" si="104"/>
        <v>0</v>
      </c>
      <c r="AH74" s="66"/>
      <c r="AI74" s="67"/>
    </row>
    <row r="75" spans="1:35" s="61" customFormat="1" ht="33" customHeight="1" x14ac:dyDescent="0.25">
      <c r="A75" s="69"/>
      <c r="B75" s="77"/>
      <c r="C75" s="71" t="s">
        <v>31</v>
      </c>
      <c r="D75" s="51">
        <f>SUM(J75,L75,N75,P75,R75,T75,V75,X75,Z75,AB75,AD75,AF75)</f>
        <v>28043.308999999997</v>
      </c>
      <c r="E75" s="65">
        <f>J75+L75+N75+P75+R75+T75+V75+X75+Z75+AB75</f>
        <v>28043.308999999997</v>
      </c>
      <c r="F75" s="65">
        <f>G75</f>
        <v>26220.760000000002</v>
      </c>
      <c r="G75" s="65">
        <f>SUM(K75,M75,O75,Q75,S75,U75,W75,Y75,AA75,AC75,AE75,AG75)</f>
        <v>26220.760000000002</v>
      </c>
      <c r="H75" s="65">
        <f t="shared" si="101"/>
        <v>93.50094883595942</v>
      </c>
      <c r="I75" s="65">
        <f>IFERROR(G75/E75*100,0)</f>
        <v>93.50094883595942</v>
      </c>
      <c r="J75" s="83">
        <f>J80+J79</f>
        <v>104.40600000000001</v>
      </c>
      <c r="K75" s="83">
        <f t="shared" ref="K75:AG75" si="105">K80+K79</f>
        <v>104.41</v>
      </c>
      <c r="L75" s="83">
        <f t="shared" si="105"/>
        <v>0</v>
      </c>
      <c r="M75" s="83">
        <f t="shared" si="105"/>
        <v>0</v>
      </c>
      <c r="N75" s="83">
        <f t="shared" si="105"/>
        <v>1211.53</v>
      </c>
      <c r="O75" s="83">
        <f t="shared" si="105"/>
        <v>1211.53</v>
      </c>
      <c r="P75" s="83">
        <f t="shared" si="105"/>
        <v>5900</v>
      </c>
      <c r="Q75" s="83">
        <f t="shared" si="105"/>
        <v>5900</v>
      </c>
      <c r="R75" s="83">
        <f t="shared" si="105"/>
        <v>2029.9549999999999</v>
      </c>
      <c r="S75" s="83">
        <f t="shared" si="105"/>
        <v>1315.94</v>
      </c>
      <c r="T75" s="83">
        <f t="shared" si="105"/>
        <v>13900.368</v>
      </c>
      <c r="U75" s="83">
        <f t="shared" si="105"/>
        <v>11359.45</v>
      </c>
      <c r="V75" s="83">
        <f t="shared" si="105"/>
        <v>653.5</v>
      </c>
      <c r="W75" s="83">
        <f t="shared" si="105"/>
        <v>653.5</v>
      </c>
      <c r="X75" s="83">
        <f t="shared" si="105"/>
        <v>2000</v>
      </c>
      <c r="Y75" s="83">
        <f t="shared" si="105"/>
        <v>2000</v>
      </c>
      <c r="Z75" s="83">
        <f t="shared" si="105"/>
        <v>2243.5500000000002</v>
      </c>
      <c r="AA75" s="83">
        <f t="shared" si="105"/>
        <v>2159.09</v>
      </c>
      <c r="AB75" s="83">
        <f t="shared" si="105"/>
        <v>0</v>
      </c>
      <c r="AC75" s="83">
        <f t="shared" si="105"/>
        <v>0</v>
      </c>
      <c r="AD75" s="83">
        <f t="shared" si="105"/>
        <v>0</v>
      </c>
      <c r="AE75" s="83">
        <f t="shared" si="105"/>
        <v>1516.84</v>
      </c>
      <c r="AF75" s="83">
        <f t="shared" si="105"/>
        <v>0</v>
      </c>
      <c r="AG75" s="83">
        <f t="shared" si="105"/>
        <v>0</v>
      </c>
      <c r="AH75" s="60"/>
      <c r="AI75" s="78"/>
    </row>
    <row r="76" spans="1:35" s="68" customFormat="1" ht="72.75" customHeight="1" x14ac:dyDescent="0.25">
      <c r="A76" s="124"/>
      <c r="B76" s="125" t="s">
        <v>62</v>
      </c>
      <c r="C76" s="64" t="s">
        <v>28</v>
      </c>
      <c r="D76" s="44">
        <f>D78+D80+D77+D79</f>
        <v>60670.512000000002</v>
      </c>
      <c r="E76" s="44">
        <f t="shared" ref="E76:G76" si="106">E78+E80+E77+E79</f>
        <v>60670.512000000002</v>
      </c>
      <c r="F76" s="44">
        <f t="shared" si="106"/>
        <v>58375.259999999995</v>
      </c>
      <c r="G76" s="44">
        <f t="shared" si="106"/>
        <v>58375.259999999995</v>
      </c>
      <c r="H76" s="65">
        <f t="shared" si="101"/>
        <v>96.216857375457778</v>
      </c>
      <c r="I76" s="65">
        <f>IFERROR(G76/E76*100,0)</f>
        <v>96.216857375457778</v>
      </c>
      <c r="J76" s="80">
        <f t="shared" ref="J76:AG76" si="107">J78+J80+J77</f>
        <v>518.59899999999993</v>
      </c>
      <c r="K76" s="80">
        <f t="shared" si="107"/>
        <v>418.6</v>
      </c>
      <c r="L76" s="80">
        <f t="shared" si="107"/>
        <v>81.510000000000005</v>
      </c>
      <c r="M76" s="80">
        <f t="shared" si="107"/>
        <v>111.495</v>
      </c>
      <c r="N76" s="80">
        <f t="shared" si="107"/>
        <v>1447.12</v>
      </c>
      <c r="O76" s="80">
        <f t="shared" si="107"/>
        <v>1447.1189999999999</v>
      </c>
      <c r="P76" s="80">
        <f t="shared" si="107"/>
        <v>13699.06</v>
      </c>
      <c r="Q76" s="80">
        <f t="shared" si="107"/>
        <v>11329.14</v>
      </c>
      <c r="R76" s="80">
        <f t="shared" si="107"/>
        <v>2835.0949999999998</v>
      </c>
      <c r="S76" s="80">
        <f t="shared" si="107"/>
        <v>2121.08</v>
      </c>
      <c r="T76" s="80">
        <f t="shared" si="107"/>
        <v>11759.248000000001</v>
      </c>
      <c r="U76" s="80">
        <f t="shared" si="107"/>
        <v>9218.3260000000009</v>
      </c>
      <c r="V76" s="80">
        <f t="shared" si="107"/>
        <v>10798.150000000001</v>
      </c>
      <c r="W76" s="80">
        <f t="shared" si="107"/>
        <v>10798.15</v>
      </c>
      <c r="X76" s="80">
        <f t="shared" si="107"/>
        <v>5000</v>
      </c>
      <c r="Y76" s="80">
        <f t="shared" si="107"/>
        <v>5000</v>
      </c>
      <c r="Z76" s="80">
        <f t="shared" si="107"/>
        <v>5243.55</v>
      </c>
      <c r="AA76" s="80">
        <f t="shared" si="107"/>
        <v>5159.09</v>
      </c>
      <c r="AB76" s="80">
        <f t="shared" si="107"/>
        <v>1218.27</v>
      </c>
      <c r="AC76" s="80">
        <f t="shared" si="107"/>
        <v>832.64</v>
      </c>
      <c r="AD76" s="80">
        <f t="shared" si="107"/>
        <v>0</v>
      </c>
      <c r="AE76" s="80">
        <f t="shared" si="107"/>
        <v>3869.71</v>
      </c>
      <c r="AF76" s="80">
        <f t="shared" si="107"/>
        <v>0</v>
      </c>
      <c r="AG76" s="80">
        <f t="shared" si="107"/>
        <v>0</v>
      </c>
      <c r="AH76" s="66"/>
      <c r="AI76" s="67"/>
    </row>
    <row r="77" spans="1:35" s="68" customFormat="1" ht="7.5" hidden="1" customHeight="1" x14ac:dyDescent="0.25">
      <c r="A77" s="124"/>
      <c r="B77" s="126"/>
      <c r="C77" s="71" t="s">
        <v>29</v>
      </c>
      <c r="D77" s="51">
        <f>SUM(J77,L77,N77,P77,R77,T77,V77,X77,Z77,AB77,AD77,AF77)</f>
        <v>0</v>
      </c>
      <c r="E77" s="65">
        <f>J77+L77+N77+P77+R77</f>
        <v>0</v>
      </c>
      <c r="F77" s="65">
        <f>G77</f>
        <v>0</v>
      </c>
      <c r="G77" s="65">
        <f>SUM(K77,M77,O77,Q77,S77,U77,W77,Y77,AA77,AC77,AE77,AG77)</f>
        <v>0</v>
      </c>
      <c r="H77" s="65">
        <f t="shared" si="101"/>
        <v>0</v>
      </c>
      <c r="I77" s="65">
        <f t="shared" si="102"/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5">
        <v>0</v>
      </c>
      <c r="X77" s="65">
        <v>0</v>
      </c>
      <c r="Y77" s="65">
        <v>0</v>
      </c>
      <c r="Z77" s="65">
        <v>0</v>
      </c>
      <c r="AA77" s="65">
        <v>0</v>
      </c>
      <c r="AB77" s="65">
        <v>0</v>
      </c>
      <c r="AC77" s="65">
        <v>0</v>
      </c>
      <c r="AD77" s="65">
        <v>0</v>
      </c>
      <c r="AE77" s="65">
        <v>0</v>
      </c>
      <c r="AF77" s="65">
        <v>0</v>
      </c>
      <c r="AG77" s="65">
        <v>0</v>
      </c>
      <c r="AH77" s="66"/>
      <c r="AI77" s="67"/>
    </row>
    <row r="78" spans="1:35" s="68" customFormat="1" ht="55.5" customHeight="1" x14ac:dyDescent="0.25">
      <c r="A78" s="124"/>
      <c r="B78" s="126"/>
      <c r="C78" s="71" t="s">
        <v>30</v>
      </c>
      <c r="D78" s="51">
        <f>SUM(J78,L78,N78,P78,R78,T78,V78,X78,Z78,AB78,AD78,AF78)</f>
        <v>32627.203000000001</v>
      </c>
      <c r="E78" s="65">
        <f>J78+L78+N78+P78+R78+T78+V78+X78+Z78+AB78</f>
        <v>32627.203000000001</v>
      </c>
      <c r="F78" s="65">
        <f>G78</f>
        <v>32154.499999999996</v>
      </c>
      <c r="G78" s="65">
        <f>SUM(K78,M78,O78,Q78,S78,U78,W78,Y78,AA78,AC78,AE78,AG78)</f>
        <v>32154.499999999996</v>
      </c>
      <c r="H78" s="65">
        <f t="shared" si="101"/>
        <v>98.551199745807182</v>
      </c>
      <c r="I78" s="65">
        <f t="shared" si="102"/>
        <v>98.551199745807182</v>
      </c>
      <c r="J78" s="75">
        <v>414.19299999999998</v>
      </c>
      <c r="K78" s="75">
        <v>314.19</v>
      </c>
      <c r="L78" s="75">
        <v>81.510000000000005</v>
      </c>
      <c r="M78" s="75">
        <v>111.495</v>
      </c>
      <c r="N78" s="75">
        <v>235.59</v>
      </c>
      <c r="O78" s="75">
        <v>235.589</v>
      </c>
      <c r="P78" s="75">
        <v>13699.06</v>
      </c>
      <c r="Q78" s="75">
        <v>11329.14</v>
      </c>
      <c r="R78" s="75">
        <v>805.14</v>
      </c>
      <c r="S78" s="75">
        <v>805.14</v>
      </c>
      <c r="T78" s="75">
        <v>28.79</v>
      </c>
      <c r="U78" s="75">
        <v>28.786000000000001</v>
      </c>
      <c r="V78" s="75">
        <f>7745.89-2473.46+4872.22</f>
        <v>10144.650000000001</v>
      </c>
      <c r="W78" s="75">
        <v>10144.65</v>
      </c>
      <c r="X78" s="75">
        <v>3000</v>
      </c>
      <c r="Y78" s="75">
        <v>3000</v>
      </c>
      <c r="Z78" s="75">
        <v>3000</v>
      </c>
      <c r="AA78" s="75">
        <v>3000</v>
      </c>
      <c r="AB78" s="75">
        <v>1218.27</v>
      </c>
      <c r="AC78" s="75">
        <v>832.64</v>
      </c>
      <c r="AD78" s="75"/>
      <c r="AE78" s="75">
        <v>2352.87</v>
      </c>
      <c r="AF78" s="75"/>
      <c r="AG78" s="75">
        <v>0</v>
      </c>
      <c r="AH78" s="60" t="s">
        <v>63</v>
      </c>
      <c r="AI78" s="67"/>
    </row>
    <row r="79" spans="1:35" s="68" customFormat="1" ht="71.25" customHeight="1" x14ac:dyDescent="0.25">
      <c r="A79" s="124"/>
      <c r="B79" s="126"/>
      <c r="C79" s="71" t="s">
        <v>64</v>
      </c>
      <c r="D79" s="51">
        <f>SUM(J79,L79,N79,P79,R79,T79,V79,X79,Z79,AB79,AD79,AF79)</f>
        <v>8069.91</v>
      </c>
      <c r="E79" s="65">
        <f t="shared" ref="E79" si="108">J79+L79+N79+P79+R79+T79+V79+X79+Z79+AB79</f>
        <v>8069.91</v>
      </c>
      <c r="F79" s="65">
        <f>G79</f>
        <v>8069.91</v>
      </c>
      <c r="G79" s="65">
        <f>SUM(K79,M79,O79,Q79,S79,U79,W79,Y79,AA79,AC79,AE79,AG79)</f>
        <v>8069.91</v>
      </c>
      <c r="H79" s="65">
        <f t="shared" si="101"/>
        <v>100</v>
      </c>
      <c r="I79" s="65">
        <f t="shared" si="102"/>
        <v>100</v>
      </c>
      <c r="J79" s="75"/>
      <c r="K79" s="75"/>
      <c r="L79" s="75"/>
      <c r="M79" s="75"/>
      <c r="N79" s="75"/>
      <c r="O79" s="75"/>
      <c r="P79" s="75">
        <v>5900</v>
      </c>
      <c r="Q79" s="75">
        <v>5900</v>
      </c>
      <c r="R79" s="75"/>
      <c r="S79" s="75"/>
      <c r="T79" s="75">
        <v>2169.91</v>
      </c>
      <c r="U79" s="75">
        <v>2169.91</v>
      </c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66"/>
      <c r="AI79" s="67"/>
    </row>
    <row r="80" spans="1:35" s="61" customFormat="1" ht="77.25" customHeight="1" x14ac:dyDescent="0.25">
      <c r="A80" s="124"/>
      <c r="B80" s="127"/>
      <c r="C80" s="71" t="s">
        <v>31</v>
      </c>
      <c r="D80" s="51">
        <f>SUM(J80,L80,N80,P80,R80,T80,V80,X80,Z80,AB80,AD80,AF80)</f>
        <v>19973.399000000001</v>
      </c>
      <c r="E80" s="65">
        <f>J80+L80+N80+P80+R80+T80+V80+X80+Z80+AB80</f>
        <v>19973.399000000001</v>
      </c>
      <c r="F80" s="65">
        <f>G80</f>
        <v>18150.850000000002</v>
      </c>
      <c r="G80" s="65">
        <f>SUM(K80,M80,O80,Q80,S80,U80,W80,Y80,AA80,AC80,AE80,AG80)</f>
        <v>18150.850000000002</v>
      </c>
      <c r="H80" s="65">
        <f>IFERROR(G80/D80*100,0)</f>
        <v>90.87511845129616</v>
      </c>
      <c r="I80" s="65">
        <f>IFERROR(G80/E80*100,0)</f>
        <v>90.87511845129616</v>
      </c>
      <c r="J80" s="83">
        <v>104.40600000000001</v>
      </c>
      <c r="K80" s="83">
        <v>104.41</v>
      </c>
      <c r="L80" s="83">
        <v>0</v>
      </c>
      <c r="M80" s="83">
        <v>0</v>
      </c>
      <c r="N80" s="83">
        <v>1211.53</v>
      </c>
      <c r="O80" s="83">
        <v>1211.53</v>
      </c>
      <c r="P80" s="83">
        <v>0</v>
      </c>
      <c r="Q80" s="83">
        <v>0</v>
      </c>
      <c r="R80" s="83">
        <v>2029.9549999999999</v>
      </c>
      <c r="S80" s="83">
        <v>1315.94</v>
      </c>
      <c r="T80" s="83">
        <f>9002.92+2727.538</f>
        <v>11730.458000000001</v>
      </c>
      <c r="U80" s="83">
        <v>9189.5400000000009</v>
      </c>
      <c r="V80" s="83">
        <v>653.5</v>
      </c>
      <c r="W80" s="83">
        <v>653.5</v>
      </c>
      <c r="X80" s="83">
        <v>2000</v>
      </c>
      <c r="Y80" s="83">
        <v>2000</v>
      </c>
      <c r="Z80" s="83">
        <f>2159.09-1522.07+1606.53</f>
        <v>2243.5500000000002</v>
      </c>
      <c r="AA80" s="83">
        <v>2159.09</v>
      </c>
      <c r="AB80" s="83">
        <v>0</v>
      </c>
      <c r="AC80" s="83">
        <v>0</v>
      </c>
      <c r="AD80" s="83">
        <v>0</v>
      </c>
      <c r="AE80" s="83">
        <v>1516.84</v>
      </c>
      <c r="AF80" s="83"/>
      <c r="AG80" s="83">
        <v>0</v>
      </c>
      <c r="AH80" s="60"/>
      <c r="AI80" s="78"/>
    </row>
    <row r="81" spans="1:35" s="131" customFormat="1" ht="27" customHeight="1" x14ac:dyDescent="0.25">
      <c r="A81" s="128" t="s">
        <v>65</v>
      </c>
      <c r="B81" s="129" t="s">
        <v>66</v>
      </c>
      <c r="C81" s="43" t="s">
        <v>28</v>
      </c>
      <c r="D81" s="44">
        <f>D82</f>
        <v>83819.799999999988</v>
      </c>
      <c r="E81" s="44">
        <f t="shared" ref="E81:G81" si="109">E82</f>
        <v>83819.799999999988</v>
      </c>
      <c r="F81" s="44">
        <f t="shared" si="109"/>
        <v>83544.705000000002</v>
      </c>
      <c r="G81" s="44">
        <f t="shared" si="109"/>
        <v>83544.705000000002</v>
      </c>
      <c r="H81" s="44">
        <f t="shared" si="101"/>
        <v>99.671801889291089</v>
      </c>
      <c r="I81" s="44">
        <f t="shared" si="102"/>
        <v>99.671801889291089</v>
      </c>
      <c r="J81" s="45">
        <f>SUM(J82:J82)</f>
        <v>14188.016</v>
      </c>
      <c r="K81" s="45">
        <f t="shared" ref="K81:AG81" si="110">SUM(K82:K82)</f>
        <v>10469.1</v>
      </c>
      <c r="L81" s="45">
        <f t="shared" si="110"/>
        <v>9474.8709999999992</v>
      </c>
      <c r="M81" s="45">
        <f t="shared" si="110"/>
        <v>7833.5049999999992</v>
      </c>
      <c r="N81" s="45">
        <f t="shared" si="110"/>
        <v>7719.646999999999</v>
      </c>
      <c r="O81" s="45">
        <f t="shared" si="110"/>
        <v>8012.85</v>
      </c>
      <c r="P81" s="45">
        <f t="shared" si="110"/>
        <v>10438.242999999999</v>
      </c>
      <c r="Q81" s="45">
        <f t="shared" si="110"/>
        <v>10574.71</v>
      </c>
      <c r="R81" s="45">
        <f t="shared" si="110"/>
        <v>7511.9680000000008</v>
      </c>
      <c r="S81" s="45">
        <f t="shared" si="110"/>
        <v>7290.2000000000007</v>
      </c>
      <c r="T81" s="45">
        <f t="shared" si="110"/>
        <v>5483.1509999999998</v>
      </c>
      <c r="U81" s="45">
        <f t="shared" si="110"/>
        <v>4893.1099999999997</v>
      </c>
      <c r="V81" s="45">
        <f t="shared" si="110"/>
        <v>180.77099999999999</v>
      </c>
      <c r="W81" s="45">
        <f t="shared" si="110"/>
        <v>180.77</v>
      </c>
      <c r="X81" s="45">
        <f t="shared" si="110"/>
        <v>182.27199999999999</v>
      </c>
      <c r="Y81" s="45">
        <f t="shared" si="110"/>
        <v>182.27</v>
      </c>
      <c r="Z81" s="45">
        <f t="shared" si="110"/>
        <v>1244.72</v>
      </c>
      <c r="AA81" s="45">
        <f t="shared" si="110"/>
        <v>1355.98</v>
      </c>
      <c r="AB81" s="45">
        <f t="shared" si="110"/>
        <v>16924.12</v>
      </c>
      <c r="AC81" s="45">
        <f t="shared" si="110"/>
        <v>16401.23</v>
      </c>
      <c r="AD81" s="45">
        <f t="shared" si="110"/>
        <v>5395.8029999999999</v>
      </c>
      <c r="AE81" s="45">
        <f t="shared" si="110"/>
        <v>5754.61</v>
      </c>
      <c r="AF81" s="45">
        <f t="shared" si="110"/>
        <v>5076.2179999999998</v>
      </c>
      <c r="AG81" s="45">
        <f t="shared" si="110"/>
        <v>10596.37</v>
      </c>
      <c r="AH81" s="46"/>
      <c r="AI81" s="130"/>
    </row>
    <row r="82" spans="1:35" s="134" customFormat="1" ht="72" customHeight="1" x14ac:dyDescent="0.25">
      <c r="A82" s="132"/>
      <c r="B82" s="133"/>
      <c r="C82" s="50" t="s">
        <v>31</v>
      </c>
      <c r="D82" s="51">
        <f>SUM(J82,L82,N82,P82,R82,T82,V82,X82,Z82,AB82,AD82,AF82)</f>
        <v>83819.799999999988</v>
      </c>
      <c r="E82" s="51">
        <f>J82+L82+N82+P82+R82+T82+V82+X82+Z82+AB82+AD82+AF82</f>
        <v>83819.799999999988</v>
      </c>
      <c r="F82" s="51">
        <f>G82</f>
        <v>83544.705000000002</v>
      </c>
      <c r="G82" s="51">
        <f>SUM(K82,M82,O82,Q82,S82,U82,W82,Y82,AA82,AC82,AE82,AG82)</f>
        <v>83544.705000000002</v>
      </c>
      <c r="H82" s="51">
        <f t="shared" si="101"/>
        <v>99.671801889291089</v>
      </c>
      <c r="I82" s="51">
        <f t="shared" si="102"/>
        <v>99.671801889291089</v>
      </c>
      <c r="J82" s="83">
        <f>J85+J87+J89+J91+J93+J84</f>
        <v>14188.016</v>
      </c>
      <c r="K82" s="83">
        <f t="shared" ref="K82:AG82" si="111">K85+K87+K89+K91+K93+K84</f>
        <v>10469.1</v>
      </c>
      <c r="L82" s="83">
        <f t="shared" si="111"/>
        <v>9474.8709999999992</v>
      </c>
      <c r="M82" s="83">
        <f t="shared" si="111"/>
        <v>7833.5049999999992</v>
      </c>
      <c r="N82" s="83">
        <f t="shared" si="111"/>
        <v>7719.646999999999</v>
      </c>
      <c r="O82" s="83">
        <f t="shared" si="111"/>
        <v>8012.85</v>
      </c>
      <c r="P82" s="83">
        <f t="shared" si="111"/>
        <v>10438.242999999999</v>
      </c>
      <c r="Q82" s="83">
        <f t="shared" si="111"/>
        <v>10574.71</v>
      </c>
      <c r="R82" s="83">
        <f t="shared" si="111"/>
        <v>7511.9680000000008</v>
      </c>
      <c r="S82" s="83">
        <f t="shared" si="111"/>
        <v>7290.2000000000007</v>
      </c>
      <c r="T82" s="83">
        <f t="shared" si="111"/>
        <v>5483.1509999999998</v>
      </c>
      <c r="U82" s="83">
        <f t="shared" si="111"/>
        <v>4893.1099999999997</v>
      </c>
      <c r="V82" s="83">
        <f t="shared" si="111"/>
        <v>180.77099999999999</v>
      </c>
      <c r="W82" s="83">
        <f t="shared" si="111"/>
        <v>180.77</v>
      </c>
      <c r="X82" s="83">
        <f t="shared" si="111"/>
        <v>182.27199999999999</v>
      </c>
      <c r="Y82" s="83">
        <f t="shared" si="111"/>
        <v>182.27</v>
      </c>
      <c r="Z82" s="83">
        <f t="shared" si="111"/>
        <v>1244.72</v>
      </c>
      <c r="AA82" s="83">
        <f t="shared" si="111"/>
        <v>1355.98</v>
      </c>
      <c r="AB82" s="83">
        <f t="shared" si="111"/>
        <v>16924.12</v>
      </c>
      <c r="AC82" s="83">
        <f t="shared" si="111"/>
        <v>16401.23</v>
      </c>
      <c r="AD82" s="83">
        <f t="shared" si="111"/>
        <v>5395.8029999999999</v>
      </c>
      <c r="AE82" s="83">
        <f t="shared" si="111"/>
        <v>5754.61</v>
      </c>
      <c r="AF82" s="83">
        <f t="shared" si="111"/>
        <v>5076.2179999999998</v>
      </c>
      <c r="AG82" s="83">
        <f t="shared" si="111"/>
        <v>10596.37</v>
      </c>
      <c r="AH82" s="52"/>
      <c r="AI82" s="130"/>
    </row>
    <row r="83" spans="1:35" s="1" customFormat="1" ht="30.75" customHeight="1" x14ac:dyDescent="0.25">
      <c r="A83" s="128"/>
      <c r="B83" s="125" t="s">
        <v>67</v>
      </c>
      <c r="C83" s="43" t="s">
        <v>28</v>
      </c>
      <c r="D83" s="44">
        <f>D85+D84</f>
        <v>12465.899999999998</v>
      </c>
      <c r="E83" s="44">
        <f t="shared" ref="E83:I83" si="112">E85+E84</f>
        <v>12465.899999999998</v>
      </c>
      <c r="F83" s="44">
        <f t="shared" si="112"/>
        <v>12197.302</v>
      </c>
      <c r="G83" s="44">
        <f t="shared" si="112"/>
        <v>12197.302</v>
      </c>
      <c r="H83" s="44">
        <f t="shared" si="112"/>
        <v>197.77039736363713</v>
      </c>
      <c r="I83" s="44">
        <f t="shared" si="112"/>
        <v>197.77039736363713</v>
      </c>
      <c r="J83" s="45">
        <f t="shared" ref="J83:AG83" si="113">SUM(J85:J85)</f>
        <v>902.625</v>
      </c>
      <c r="K83" s="45">
        <f>SUM(K85:K85)</f>
        <v>837.72</v>
      </c>
      <c r="L83" s="45">
        <f t="shared" si="113"/>
        <v>3086.0750000000003</v>
      </c>
      <c r="M83" s="45">
        <f t="shared" si="113"/>
        <v>2998.502</v>
      </c>
      <c r="N83" s="45">
        <f t="shared" si="113"/>
        <v>795.5</v>
      </c>
      <c r="O83" s="45">
        <f t="shared" si="113"/>
        <v>826.52</v>
      </c>
      <c r="P83" s="45">
        <f t="shared" si="113"/>
        <v>4379.2199999999993</v>
      </c>
      <c r="Q83" s="45">
        <f t="shared" si="113"/>
        <v>4466.2</v>
      </c>
      <c r="R83" s="45">
        <f t="shared" si="113"/>
        <v>768.88</v>
      </c>
      <c r="S83" s="45">
        <f t="shared" si="113"/>
        <v>715.48</v>
      </c>
      <c r="T83" s="45">
        <f t="shared" si="113"/>
        <v>521.29999999999995</v>
      </c>
      <c r="U83" s="45">
        <f t="shared" si="113"/>
        <v>21.79</v>
      </c>
      <c r="V83" s="45">
        <f t="shared" si="113"/>
        <v>0</v>
      </c>
      <c r="W83" s="45">
        <f t="shared" si="113"/>
        <v>0</v>
      </c>
      <c r="X83" s="45">
        <f t="shared" si="113"/>
        <v>0</v>
      </c>
      <c r="Y83" s="45">
        <f t="shared" si="113"/>
        <v>0</v>
      </c>
      <c r="Z83" s="45">
        <f t="shared" si="113"/>
        <v>944.72</v>
      </c>
      <c r="AA83" s="45">
        <f t="shared" si="113"/>
        <v>1055.98</v>
      </c>
      <c r="AB83" s="45">
        <f t="shared" si="113"/>
        <v>157.57999999999998</v>
      </c>
      <c r="AC83" s="45">
        <f t="shared" si="113"/>
        <v>0</v>
      </c>
      <c r="AD83" s="45">
        <f t="shared" si="113"/>
        <v>0</v>
      </c>
      <c r="AE83" s="45">
        <f t="shared" si="113"/>
        <v>0</v>
      </c>
      <c r="AF83" s="45">
        <f t="shared" si="113"/>
        <v>491.00000000000057</v>
      </c>
      <c r="AG83" s="45">
        <f t="shared" si="113"/>
        <v>856.11</v>
      </c>
      <c r="AH83" s="46"/>
    </row>
    <row r="84" spans="1:35" s="1" customFormat="1" ht="30.75" customHeight="1" x14ac:dyDescent="0.25">
      <c r="A84" s="135"/>
      <c r="B84" s="126"/>
      <c r="C84" s="50" t="s">
        <v>68</v>
      </c>
      <c r="D84" s="51">
        <f>SUM(J84,L84,N84,P84,R84,T84,V84,X84,Z84,AB84,AD84,AF84)</f>
        <v>419</v>
      </c>
      <c r="E84" s="51">
        <f>J84+L84+N84+P84+R84+T84+V84+X84+Z84+AB84</f>
        <v>419</v>
      </c>
      <c r="F84" s="51">
        <f>G84</f>
        <v>419</v>
      </c>
      <c r="G84" s="51">
        <f>SUM(K84,M84,O84,Q84,S84,U84,W84,Y84,AA84,AC84,AE84,AG84)</f>
        <v>419</v>
      </c>
      <c r="H84" s="51">
        <f t="shared" ref="H84" si="114">IFERROR(G84/D84*100,0)</f>
        <v>100</v>
      </c>
      <c r="I84" s="51">
        <f t="shared" ref="I84" si="115">IFERROR(G84/E84*100,0)</f>
        <v>100</v>
      </c>
      <c r="J84" s="45"/>
      <c r="K84" s="45"/>
      <c r="L84" s="45"/>
      <c r="M84" s="45"/>
      <c r="N84" s="45"/>
      <c r="O84" s="45"/>
      <c r="P84" s="45"/>
      <c r="Q84" s="45"/>
      <c r="R84" s="83">
        <v>419</v>
      </c>
      <c r="S84" s="45">
        <v>419</v>
      </c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6"/>
    </row>
    <row r="85" spans="1:35" s="1" customFormat="1" ht="41.25" customHeight="1" x14ac:dyDescent="0.25">
      <c r="A85" s="132"/>
      <c r="B85" s="126"/>
      <c r="C85" s="50" t="s">
        <v>31</v>
      </c>
      <c r="D85" s="51">
        <f>SUM(J85,L85,N85,P85,R85,T85,V85,X85,Z85,AB85,AD85,AF85)</f>
        <v>12046.899999999998</v>
      </c>
      <c r="E85" s="51">
        <f>J85+L85+N85+P85+R85+T85+V85+X85+Z85+AB85+AF85</f>
        <v>12046.899999999998</v>
      </c>
      <c r="F85" s="51">
        <f>G85</f>
        <v>11778.302</v>
      </c>
      <c r="G85" s="51">
        <f>SUM(K85,M85,O85,Q85,S85,U85,W85,Y85,AA85,AC85,AE85,AG85)</f>
        <v>11778.302</v>
      </c>
      <c r="H85" s="51">
        <f t="shared" si="101"/>
        <v>97.77039736363713</v>
      </c>
      <c r="I85" s="51">
        <f t="shared" si="102"/>
        <v>97.77039736363713</v>
      </c>
      <c r="J85" s="83">
        <v>902.625</v>
      </c>
      <c r="K85" s="83">
        <v>837.72</v>
      </c>
      <c r="L85" s="83">
        <f>216.4+2869.675</f>
        <v>3086.0750000000003</v>
      </c>
      <c r="M85" s="83">
        <v>2998.502</v>
      </c>
      <c r="N85" s="83">
        <f>311+484.5</f>
        <v>795.5</v>
      </c>
      <c r="O85" s="83">
        <f>515.52+311</f>
        <v>826.52</v>
      </c>
      <c r="P85" s="83">
        <f>3894.72+484.5</f>
        <v>4379.2199999999993</v>
      </c>
      <c r="Q85" s="83">
        <v>4466.2</v>
      </c>
      <c r="R85" s="83">
        <f>580-216.4+405.28</f>
        <v>768.88</v>
      </c>
      <c r="S85" s="83">
        <v>715.48</v>
      </c>
      <c r="T85" s="83">
        <f>145-102.58+478.88</f>
        <v>521.29999999999995</v>
      </c>
      <c r="U85" s="83">
        <v>21.79</v>
      </c>
      <c r="V85" s="83">
        <v>0</v>
      </c>
      <c r="W85" s="83">
        <v>0</v>
      </c>
      <c r="X85" s="83">
        <v>0</v>
      </c>
      <c r="Y85" s="83">
        <v>0</v>
      </c>
      <c r="Z85" s="83">
        <f>1350-405.28</f>
        <v>944.72</v>
      </c>
      <c r="AA85" s="83">
        <v>1055.98</v>
      </c>
      <c r="AB85" s="83">
        <f>102.58+55</f>
        <v>157.57999999999998</v>
      </c>
      <c r="AC85" s="83">
        <v>0</v>
      </c>
      <c r="AD85" s="83">
        <v>0</v>
      </c>
      <c r="AE85" s="83">
        <v>0</v>
      </c>
      <c r="AF85" s="83">
        <f>1753.2+731+2380.4-3894.72-478.88</f>
        <v>491.00000000000057</v>
      </c>
      <c r="AG85" s="83">
        <v>856.11</v>
      </c>
      <c r="AH85" s="52"/>
    </row>
    <row r="86" spans="1:35" s="1" customFormat="1" ht="23.25" customHeight="1" x14ac:dyDescent="0.25">
      <c r="A86" s="128"/>
      <c r="B86" s="90" t="s">
        <v>69</v>
      </c>
      <c r="C86" s="43" t="s">
        <v>28</v>
      </c>
      <c r="D86" s="44">
        <f>D87</f>
        <v>1000</v>
      </c>
      <c r="E86" s="44">
        <f t="shared" ref="E86:G92" si="116">E87</f>
        <v>1000</v>
      </c>
      <c r="F86" s="44">
        <f t="shared" si="116"/>
        <v>993.5</v>
      </c>
      <c r="G86" s="44">
        <f t="shared" si="116"/>
        <v>993.5</v>
      </c>
      <c r="H86" s="44">
        <f t="shared" si="101"/>
        <v>99.350000000000009</v>
      </c>
      <c r="I86" s="44">
        <f t="shared" si="102"/>
        <v>99.350000000000009</v>
      </c>
      <c r="J86" s="45">
        <f t="shared" ref="J86:AG92" si="117">SUM(J87:J87)</f>
        <v>0</v>
      </c>
      <c r="K86" s="45">
        <f t="shared" si="117"/>
        <v>0</v>
      </c>
      <c r="L86" s="45">
        <f t="shared" si="117"/>
        <v>0</v>
      </c>
      <c r="M86" s="45">
        <f t="shared" si="117"/>
        <v>0</v>
      </c>
      <c r="N86" s="45">
        <f t="shared" si="117"/>
        <v>8.4</v>
      </c>
      <c r="O86" s="45">
        <f t="shared" si="117"/>
        <v>8.4</v>
      </c>
      <c r="P86" s="45">
        <f t="shared" si="117"/>
        <v>0</v>
      </c>
      <c r="Q86" s="45">
        <f t="shared" si="117"/>
        <v>0</v>
      </c>
      <c r="R86" s="45">
        <f t="shared" si="117"/>
        <v>0</v>
      </c>
      <c r="S86" s="45">
        <f t="shared" si="117"/>
        <v>0</v>
      </c>
      <c r="T86" s="45">
        <f t="shared" si="117"/>
        <v>0</v>
      </c>
      <c r="U86" s="45">
        <f t="shared" si="117"/>
        <v>0</v>
      </c>
      <c r="V86" s="45">
        <f t="shared" si="117"/>
        <v>0</v>
      </c>
      <c r="W86" s="45">
        <f t="shared" si="117"/>
        <v>0</v>
      </c>
      <c r="X86" s="45">
        <f t="shared" si="117"/>
        <v>0</v>
      </c>
      <c r="Y86" s="45">
        <f t="shared" si="117"/>
        <v>0</v>
      </c>
      <c r="Z86" s="45">
        <f t="shared" si="117"/>
        <v>0</v>
      </c>
      <c r="AA86" s="45">
        <f t="shared" si="117"/>
        <v>0</v>
      </c>
      <c r="AB86" s="45">
        <f t="shared" si="117"/>
        <v>991.6</v>
      </c>
      <c r="AC86" s="45">
        <f t="shared" si="117"/>
        <v>626.29</v>
      </c>
      <c r="AD86" s="45">
        <f t="shared" si="117"/>
        <v>0</v>
      </c>
      <c r="AE86" s="45">
        <f t="shared" si="117"/>
        <v>358.81</v>
      </c>
      <c r="AF86" s="45">
        <f t="shared" si="117"/>
        <v>0</v>
      </c>
      <c r="AG86" s="45">
        <f t="shared" si="117"/>
        <v>0</v>
      </c>
      <c r="AH86" s="46"/>
    </row>
    <row r="87" spans="1:35" s="1" customFormat="1" ht="67.5" customHeight="1" x14ac:dyDescent="0.25">
      <c r="A87" s="132"/>
      <c r="B87" s="90"/>
      <c r="C87" s="50" t="s">
        <v>31</v>
      </c>
      <c r="D87" s="51">
        <f>SUM(J87,L87,N87,P87,R87,T87,V87,X87,Z87,AB87,AD87,AF87)</f>
        <v>1000</v>
      </c>
      <c r="E87" s="51">
        <f>J87+L87+N87+P87+R87+T87+V87+X87+Z87+AB87</f>
        <v>1000</v>
      </c>
      <c r="F87" s="51">
        <f>G87</f>
        <v>993.5</v>
      </c>
      <c r="G87" s="51">
        <f>SUM(K87,M87,O87,Q87,S87,U87,W87,Y87,AA87,AC87,AE87,AG87)</f>
        <v>993.5</v>
      </c>
      <c r="H87" s="51">
        <f t="shared" si="101"/>
        <v>99.350000000000009</v>
      </c>
      <c r="I87" s="51">
        <f t="shared" si="102"/>
        <v>99.350000000000009</v>
      </c>
      <c r="J87" s="83">
        <v>0</v>
      </c>
      <c r="K87" s="83">
        <v>0</v>
      </c>
      <c r="L87" s="83">
        <v>0</v>
      </c>
      <c r="M87" s="83">
        <v>0</v>
      </c>
      <c r="N87" s="83">
        <v>8.4</v>
      </c>
      <c r="O87" s="83">
        <v>8.4</v>
      </c>
      <c r="P87" s="83">
        <v>0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  <c r="V87" s="83">
        <v>0</v>
      </c>
      <c r="W87" s="83">
        <v>0</v>
      </c>
      <c r="X87" s="83">
        <v>0</v>
      </c>
      <c r="Y87" s="83">
        <v>0</v>
      </c>
      <c r="Z87" s="83">
        <v>0</v>
      </c>
      <c r="AA87" s="83">
        <v>0</v>
      </c>
      <c r="AB87" s="83">
        <f>1000-8.4</f>
        <v>991.6</v>
      </c>
      <c r="AC87" s="83">
        <v>626.29</v>
      </c>
      <c r="AD87" s="83">
        <v>0</v>
      </c>
      <c r="AE87" s="83">
        <v>358.81</v>
      </c>
      <c r="AF87" s="83">
        <v>0</v>
      </c>
      <c r="AG87" s="83">
        <v>0</v>
      </c>
      <c r="AH87" s="52"/>
    </row>
    <row r="88" spans="1:35" s="1" customFormat="1" ht="23.25" customHeight="1" x14ac:dyDescent="0.25">
      <c r="A88" s="128"/>
      <c r="B88" s="90" t="s">
        <v>70</v>
      </c>
      <c r="C88" s="43" t="s">
        <v>28</v>
      </c>
      <c r="D88" s="44">
        <f>D89</f>
        <v>6407.3009999999986</v>
      </c>
      <c r="E88" s="44">
        <f t="shared" si="116"/>
        <v>6407.3009999999986</v>
      </c>
      <c r="F88" s="44">
        <f t="shared" si="116"/>
        <v>6407.3000000000011</v>
      </c>
      <c r="G88" s="44">
        <f t="shared" si="116"/>
        <v>6407.3000000000011</v>
      </c>
      <c r="H88" s="44">
        <f t="shared" si="101"/>
        <v>99.999984392804436</v>
      </c>
      <c r="I88" s="44">
        <f t="shared" si="102"/>
        <v>99.999984392804436</v>
      </c>
      <c r="J88" s="45">
        <f t="shared" si="117"/>
        <v>507.31400000000002</v>
      </c>
      <c r="K88" s="45">
        <f t="shared" si="117"/>
        <v>507.31</v>
      </c>
      <c r="L88" s="45">
        <f t="shared" si="117"/>
        <v>501.56599999999997</v>
      </c>
      <c r="M88" s="45">
        <f t="shared" si="117"/>
        <v>0</v>
      </c>
      <c r="N88" s="45">
        <f t="shared" si="117"/>
        <v>1313.865</v>
      </c>
      <c r="O88" s="45">
        <f t="shared" si="117"/>
        <v>1815.43</v>
      </c>
      <c r="P88" s="45">
        <f t="shared" si="117"/>
        <v>500.54399999999998</v>
      </c>
      <c r="Q88" s="45">
        <f t="shared" si="117"/>
        <v>500.54</v>
      </c>
      <c r="R88" s="45">
        <f t="shared" si="117"/>
        <v>790.45699999999999</v>
      </c>
      <c r="S88" s="45">
        <f t="shared" si="117"/>
        <v>790.46</v>
      </c>
      <c r="T88" s="45">
        <f t="shared" si="117"/>
        <v>961.851</v>
      </c>
      <c r="U88" s="45">
        <f t="shared" si="117"/>
        <v>961.86</v>
      </c>
      <c r="V88" s="45">
        <f t="shared" si="117"/>
        <v>180.77099999999999</v>
      </c>
      <c r="W88" s="45">
        <f t="shared" si="117"/>
        <v>180.77</v>
      </c>
      <c r="X88" s="45">
        <f t="shared" si="117"/>
        <v>182.27199999999999</v>
      </c>
      <c r="Y88" s="45">
        <f t="shared" si="117"/>
        <v>182.27</v>
      </c>
      <c r="Z88" s="45">
        <f t="shared" si="117"/>
        <v>300</v>
      </c>
      <c r="AA88" s="45">
        <f t="shared" si="117"/>
        <v>300</v>
      </c>
      <c r="AB88" s="45">
        <f t="shared" si="117"/>
        <v>462.48</v>
      </c>
      <c r="AC88" s="45">
        <f t="shared" si="117"/>
        <v>462.48</v>
      </c>
      <c r="AD88" s="45">
        <f t="shared" si="117"/>
        <v>395.803</v>
      </c>
      <c r="AE88" s="45">
        <f t="shared" si="117"/>
        <v>395.8</v>
      </c>
      <c r="AF88" s="45">
        <f t="shared" si="117"/>
        <v>310.37800000000004</v>
      </c>
      <c r="AG88" s="45">
        <f t="shared" si="117"/>
        <v>310.38</v>
      </c>
      <c r="AH88" s="46"/>
    </row>
    <row r="89" spans="1:35" s="1" customFormat="1" ht="48.75" customHeight="1" x14ac:dyDescent="0.25">
      <c r="A89" s="132"/>
      <c r="B89" s="90"/>
      <c r="C89" s="50" t="s">
        <v>31</v>
      </c>
      <c r="D89" s="51">
        <f>SUM(J89,L89,N89,P89,R89,T89,V89,X89,Z89,AB89,AD89,AF89)</f>
        <v>6407.3009999999986</v>
      </c>
      <c r="E89" s="51">
        <f>J89+L89+N89+P89+R89+T89+V89+X89+Z89+AB89+AD89+AF89</f>
        <v>6407.3009999999986</v>
      </c>
      <c r="F89" s="51">
        <f>G89</f>
        <v>6407.3000000000011</v>
      </c>
      <c r="G89" s="51">
        <f>SUM(K89,M89,O89,Q89,S89,U89,W89,Y89,AA89,AC89,AE89,AG89)</f>
        <v>6407.3000000000011</v>
      </c>
      <c r="H89" s="51">
        <f t="shared" si="101"/>
        <v>99.999984392804436</v>
      </c>
      <c r="I89" s="51">
        <f t="shared" si="102"/>
        <v>99.999984392804436</v>
      </c>
      <c r="J89" s="83">
        <v>507.31400000000002</v>
      </c>
      <c r="K89" s="83">
        <v>507.31</v>
      </c>
      <c r="L89" s="83">
        <v>501.56599999999997</v>
      </c>
      <c r="M89" s="83">
        <v>0</v>
      </c>
      <c r="N89" s="83">
        <f>812.3+501.565</f>
        <v>1313.865</v>
      </c>
      <c r="O89" s="83">
        <v>1815.43</v>
      </c>
      <c r="P89" s="83">
        <v>500.54399999999998</v>
      </c>
      <c r="Q89" s="83">
        <v>500.54</v>
      </c>
      <c r="R89" s="83">
        <v>790.45699999999999</v>
      </c>
      <c r="S89" s="83">
        <v>790.46</v>
      </c>
      <c r="T89" s="83">
        <f>75.46+886.391</f>
        <v>961.851</v>
      </c>
      <c r="U89" s="83">
        <v>961.86</v>
      </c>
      <c r="V89" s="83">
        <v>180.77099999999999</v>
      </c>
      <c r="W89" s="83">
        <v>180.77</v>
      </c>
      <c r="X89" s="83">
        <v>182.27199999999999</v>
      </c>
      <c r="Y89" s="83">
        <v>182.27</v>
      </c>
      <c r="Z89" s="83">
        <v>300</v>
      </c>
      <c r="AA89" s="83">
        <v>300</v>
      </c>
      <c r="AB89" s="83">
        <v>462.48</v>
      </c>
      <c r="AC89" s="83">
        <v>462.48</v>
      </c>
      <c r="AD89" s="83">
        <v>395.803</v>
      </c>
      <c r="AE89" s="83">
        <v>395.8</v>
      </c>
      <c r="AF89" s="83">
        <f>384.478-74.1</f>
        <v>310.37800000000004</v>
      </c>
      <c r="AG89" s="83">
        <v>310.38</v>
      </c>
      <c r="AH89" s="52"/>
    </row>
    <row r="90" spans="1:35" s="1" customFormat="1" ht="23.25" customHeight="1" x14ac:dyDescent="0.25">
      <c r="A90" s="128"/>
      <c r="B90" s="90" t="s">
        <v>71</v>
      </c>
      <c r="C90" s="43" t="s">
        <v>28</v>
      </c>
      <c r="D90" s="44">
        <f>D91</f>
        <v>56087.298999999999</v>
      </c>
      <c r="E90" s="44">
        <f t="shared" si="116"/>
        <v>56087.298999999999</v>
      </c>
      <c r="F90" s="44">
        <f t="shared" si="116"/>
        <v>56087.303</v>
      </c>
      <c r="G90" s="44">
        <f t="shared" si="116"/>
        <v>56087.303</v>
      </c>
      <c r="H90" s="44">
        <f t="shared" si="101"/>
        <v>100.00000713173939</v>
      </c>
      <c r="I90" s="44">
        <f t="shared" si="102"/>
        <v>100.00000713173939</v>
      </c>
      <c r="J90" s="45">
        <f t="shared" si="117"/>
        <v>4918.777</v>
      </c>
      <c r="K90" s="45">
        <f t="shared" si="117"/>
        <v>1264.77</v>
      </c>
      <c r="L90" s="45">
        <f t="shared" si="117"/>
        <v>5887.23</v>
      </c>
      <c r="M90" s="45">
        <f t="shared" si="117"/>
        <v>4835.0029999999997</v>
      </c>
      <c r="N90" s="45">
        <f t="shared" si="117"/>
        <v>5601.8819999999996</v>
      </c>
      <c r="O90" s="45">
        <f t="shared" si="117"/>
        <v>5362.5</v>
      </c>
      <c r="P90" s="45">
        <f t="shared" si="117"/>
        <v>5558.4790000000003</v>
      </c>
      <c r="Q90" s="45">
        <f t="shared" si="117"/>
        <v>5607.97</v>
      </c>
      <c r="R90" s="45">
        <f t="shared" si="117"/>
        <v>5533.6310000000003</v>
      </c>
      <c r="S90" s="45">
        <f t="shared" si="117"/>
        <v>5365.26</v>
      </c>
      <c r="T90" s="45">
        <f t="shared" si="117"/>
        <v>4000</v>
      </c>
      <c r="U90" s="45">
        <f t="shared" si="117"/>
        <v>3909.46</v>
      </c>
      <c r="V90" s="45">
        <f t="shared" si="117"/>
        <v>0</v>
      </c>
      <c r="W90" s="45">
        <f t="shared" si="117"/>
        <v>0</v>
      </c>
      <c r="X90" s="45">
        <f t="shared" si="117"/>
        <v>0</v>
      </c>
      <c r="Y90" s="45">
        <f t="shared" si="117"/>
        <v>0</v>
      </c>
      <c r="Z90" s="45">
        <f t="shared" si="117"/>
        <v>0</v>
      </c>
      <c r="AA90" s="45">
        <f t="shared" si="117"/>
        <v>0</v>
      </c>
      <c r="AB90" s="45">
        <f t="shared" si="117"/>
        <v>15312.46</v>
      </c>
      <c r="AC90" s="45">
        <f t="shared" si="117"/>
        <v>15312.46</v>
      </c>
      <c r="AD90" s="45">
        <f t="shared" si="117"/>
        <v>5000</v>
      </c>
      <c r="AE90" s="45">
        <f t="shared" si="117"/>
        <v>5000</v>
      </c>
      <c r="AF90" s="45">
        <f t="shared" si="117"/>
        <v>4274.8399999999992</v>
      </c>
      <c r="AG90" s="45">
        <f t="shared" si="117"/>
        <v>9429.880000000001</v>
      </c>
      <c r="AH90" s="46"/>
    </row>
    <row r="91" spans="1:35" s="1" customFormat="1" ht="41.25" customHeight="1" x14ac:dyDescent="0.25">
      <c r="A91" s="132"/>
      <c r="B91" s="90"/>
      <c r="C91" s="50" t="s">
        <v>31</v>
      </c>
      <c r="D91" s="51">
        <f>SUM(J91,L91,N91,P91,R91,T91,V91,X91,Z91,AB91,AD91,AF91)</f>
        <v>56087.298999999999</v>
      </c>
      <c r="E91" s="51">
        <f>J91+L91+N91+P91+R91+T91+V91+X91+Z91+AB91+AD91+AF91</f>
        <v>56087.298999999999</v>
      </c>
      <c r="F91" s="51">
        <f>G91</f>
        <v>56087.303</v>
      </c>
      <c r="G91" s="51">
        <f>SUM(K91,M91,O91,Q91,S91,U91,W91,Y91,AA91,AC91,AE91,AG91)</f>
        <v>56087.303</v>
      </c>
      <c r="H91" s="51">
        <f t="shared" si="101"/>
        <v>100.00000713173939</v>
      </c>
      <c r="I91" s="51">
        <f t="shared" si="102"/>
        <v>100.00000713173939</v>
      </c>
      <c r="J91" s="83">
        <v>4918.777</v>
      </c>
      <c r="K91" s="83">
        <v>1264.77</v>
      </c>
      <c r="L91" s="83">
        <v>5887.23</v>
      </c>
      <c r="M91" s="83">
        <v>4835.0029999999997</v>
      </c>
      <c r="N91" s="83">
        <v>5601.8819999999996</v>
      </c>
      <c r="O91" s="83">
        <v>5362.5</v>
      </c>
      <c r="P91" s="83">
        <v>5558.4790000000003</v>
      </c>
      <c r="Q91" s="83">
        <v>5607.97</v>
      </c>
      <c r="R91" s="83">
        <v>5533.6310000000003</v>
      </c>
      <c r="S91" s="83">
        <v>5365.26</v>
      </c>
      <c r="T91" s="83">
        <v>4000</v>
      </c>
      <c r="U91" s="83">
        <v>3909.46</v>
      </c>
      <c r="V91" s="83">
        <v>0</v>
      </c>
      <c r="W91" s="83">
        <v>0</v>
      </c>
      <c r="X91" s="83">
        <v>0</v>
      </c>
      <c r="Y91" s="83">
        <v>0</v>
      </c>
      <c r="Z91" s="83">
        <v>0</v>
      </c>
      <c r="AA91" s="83">
        <v>0</v>
      </c>
      <c r="AB91" s="83">
        <f>5012.46+10300</f>
        <v>15312.46</v>
      </c>
      <c r="AC91" s="83">
        <v>15312.46</v>
      </c>
      <c r="AD91" s="83">
        <v>5000</v>
      </c>
      <c r="AE91" s="83">
        <v>5000</v>
      </c>
      <c r="AF91" s="83">
        <f>9287.3-5012.46</f>
        <v>4274.8399999999992</v>
      </c>
      <c r="AG91" s="83">
        <f>5155.04+4274.84</f>
        <v>9429.880000000001</v>
      </c>
      <c r="AH91" s="52" t="s">
        <v>72</v>
      </c>
    </row>
    <row r="92" spans="1:35" s="1" customFormat="1" ht="23.25" customHeight="1" x14ac:dyDescent="0.25">
      <c r="A92" s="128"/>
      <c r="B92" s="90" t="s">
        <v>73</v>
      </c>
      <c r="C92" s="43" t="s">
        <v>28</v>
      </c>
      <c r="D92" s="44">
        <f>D93</f>
        <v>7859.3</v>
      </c>
      <c r="E92" s="44">
        <f t="shared" si="116"/>
        <v>7859.3</v>
      </c>
      <c r="F92" s="44">
        <f t="shared" si="116"/>
        <v>7859.3</v>
      </c>
      <c r="G92" s="44">
        <f t="shared" si="116"/>
        <v>7859.3</v>
      </c>
      <c r="H92" s="44">
        <f t="shared" si="101"/>
        <v>100</v>
      </c>
      <c r="I92" s="44">
        <f t="shared" si="102"/>
        <v>100</v>
      </c>
      <c r="J92" s="45">
        <f t="shared" si="117"/>
        <v>7859.3</v>
      </c>
      <c r="K92" s="45">
        <f t="shared" si="117"/>
        <v>7859.3</v>
      </c>
      <c r="L92" s="45">
        <f t="shared" si="117"/>
        <v>0</v>
      </c>
      <c r="M92" s="45">
        <f t="shared" si="117"/>
        <v>0</v>
      </c>
      <c r="N92" s="45">
        <f t="shared" si="117"/>
        <v>0</v>
      </c>
      <c r="O92" s="45">
        <f t="shared" si="117"/>
        <v>0</v>
      </c>
      <c r="P92" s="45">
        <f t="shared" si="117"/>
        <v>0</v>
      </c>
      <c r="Q92" s="45">
        <f t="shared" si="117"/>
        <v>0</v>
      </c>
      <c r="R92" s="45">
        <f t="shared" si="117"/>
        <v>0</v>
      </c>
      <c r="S92" s="45">
        <f t="shared" si="117"/>
        <v>0</v>
      </c>
      <c r="T92" s="45">
        <f t="shared" si="117"/>
        <v>0</v>
      </c>
      <c r="U92" s="45">
        <f t="shared" si="117"/>
        <v>0</v>
      </c>
      <c r="V92" s="45">
        <f t="shared" si="117"/>
        <v>0</v>
      </c>
      <c r="W92" s="45">
        <f t="shared" si="117"/>
        <v>0</v>
      </c>
      <c r="X92" s="45">
        <f t="shared" si="117"/>
        <v>0</v>
      </c>
      <c r="Y92" s="45">
        <f t="shared" si="117"/>
        <v>0</v>
      </c>
      <c r="Z92" s="45">
        <f t="shared" si="117"/>
        <v>0</v>
      </c>
      <c r="AA92" s="45">
        <f t="shared" si="117"/>
        <v>0</v>
      </c>
      <c r="AB92" s="45">
        <f t="shared" si="117"/>
        <v>0</v>
      </c>
      <c r="AC92" s="45">
        <f t="shared" si="117"/>
        <v>0</v>
      </c>
      <c r="AD92" s="45">
        <f t="shared" si="117"/>
        <v>0</v>
      </c>
      <c r="AE92" s="45">
        <f t="shared" si="117"/>
        <v>0</v>
      </c>
      <c r="AF92" s="45">
        <f t="shared" si="117"/>
        <v>0</v>
      </c>
      <c r="AG92" s="45">
        <f t="shared" si="117"/>
        <v>0</v>
      </c>
      <c r="AH92" s="46"/>
    </row>
    <row r="93" spans="1:35" s="1" customFormat="1" ht="41.25" customHeight="1" x14ac:dyDescent="0.25">
      <c r="A93" s="132"/>
      <c r="B93" s="90"/>
      <c r="C93" s="50" t="s">
        <v>31</v>
      </c>
      <c r="D93" s="51">
        <f>SUM(J93,L93,N93,P93,R93,T93,V93,X93,Z93,AB93,AD93,AF93)</f>
        <v>7859.3</v>
      </c>
      <c r="E93" s="51">
        <f>J93</f>
        <v>7859.3</v>
      </c>
      <c r="F93" s="51">
        <f>G93</f>
        <v>7859.3</v>
      </c>
      <c r="G93" s="51">
        <f>SUM(K93,M93,O93,Q93,S93,U93,W93,Y93,AA93,AC93,AE93,AG93)</f>
        <v>7859.3</v>
      </c>
      <c r="H93" s="51">
        <f t="shared" si="101"/>
        <v>100</v>
      </c>
      <c r="I93" s="51">
        <f t="shared" si="102"/>
        <v>100</v>
      </c>
      <c r="J93" s="83">
        <v>7859.3</v>
      </c>
      <c r="K93" s="83">
        <v>7859.3</v>
      </c>
      <c r="L93" s="83">
        <v>0</v>
      </c>
      <c r="M93" s="83">
        <v>0</v>
      </c>
      <c r="N93" s="83">
        <v>0</v>
      </c>
      <c r="O93" s="83">
        <v>0</v>
      </c>
      <c r="P93" s="83">
        <v>0</v>
      </c>
      <c r="Q93" s="83">
        <v>0</v>
      </c>
      <c r="R93" s="83">
        <v>0</v>
      </c>
      <c r="S93" s="83">
        <v>0</v>
      </c>
      <c r="T93" s="83">
        <v>0</v>
      </c>
      <c r="U93" s="83">
        <v>0</v>
      </c>
      <c r="V93" s="83">
        <v>0</v>
      </c>
      <c r="W93" s="83">
        <v>0</v>
      </c>
      <c r="X93" s="83">
        <v>0</v>
      </c>
      <c r="Y93" s="83">
        <v>0</v>
      </c>
      <c r="Z93" s="83">
        <v>0</v>
      </c>
      <c r="AA93" s="83">
        <v>0</v>
      </c>
      <c r="AB93" s="83">
        <v>0</v>
      </c>
      <c r="AC93" s="83">
        <v>0</v>
      </c>
      <c r="AD93" s="83">
        <v>0</v>
      </c>
      <c r="AE93" s="83">
        <v>0</v>
      </c>
      <c r="AF93" s="83">
        <v>0</v>
      </c>
      <c r="AG93" s="83">
        <v>0</v>
      </c>
      <c r="AH93" s="52"/>
    </row>
    <row r="94" spans="1:35" s="1" customFormat="1" ht="33" customHeight="1" x14ac:dyDescent="0.25">
      <c r="A94" s="136"/>
      <c r="B94" s="57" t="s">
        <v>74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9"/>
      <c r="AH94" s="52"/>
    </row>
    <row r="95" spans="1:35" s="131" customFormat="1" ht="55.5" customHeight="1" x14ac:dyDescent="0.25">
      <c r="A95" s="128" t="s">
        <v>75</v>
      </c>
      <c r="B95" s="129" t="s">
        <v>76</v>
      </c>
      <c r="C95" s="43" t="s">
        <v>28</v>
      </c>
      <c r="D95" s="44">
        <f>D96</f>
        <v>70594.907999999996</v>
      </c>
      <c r="E95" s="44">
        <f t="shared" ref="E95:G95" si="118">E96</f>
        <v>70594.907999999996</v>
      </c>
      <c r="F95" s="44">
        <f t="shared" si="118"/>
        <v>68195.703000000009</v>
      </c>
      <c r="G95" s="44">
        <f t="shared" si="118"/>
        <v>68195.703000000009</v>
      </c>
      <c r="H95" s="44">
        <f t="shared" ref="H95:H100" si="119">IFERROR(G95/D95*100,0)</f>
        <v>96.601447515166399</v>
      </c>
      <c r="I95" s="44">
        <f t="shared" ref="I95:I100" si="120">IFERROR(G95/E95*100,0)</f>
        <v>96.601447515166399</v>
      </c>
      <c r="J95" s="45">
        <f t="shared" ref="J95:AG95" si="121">SUM(J96:J96)</f>
        <v>2080.7109999999998</v>
      </c>
      <c r="K95" s="45">
        <f t="shared" si="121"/>
        <v>2080.71</v>
      </c>
      <c r="L95" s="45">
        <f t="shared" si="121"/>
        <v>2341.0619999999999</v>
      </c>
      <c r="M95" s="45">
        <f t="shared" si="121"/>
        <v>2341.0630000000001</v>
      </c>
      <c r="N95" s="45">
        <f t="shared" si="121"/>
        <v>3158.08</v>
      </c>
      <c r="O95" s="45">
        <f t="shared" si="121"/>
        <v>3158.08</v>
      </c>
      <c r="P95" s="45">
        <f t="shared" si="121"/>
        <v>500</v>
      </c>
      <c r="Q95" s="45">
        <f t="shared" si="121"/>
        <v>0</v>
      </c>
      <c r="R95" s="45">
        <f t="shared" si="121"/>
        <v>1920.25</v>
      </c>
      <c r="S95" s="45">
        <f t="shared" si="121"/>
        <v>2389.17</v>
      </c>
      <c r="T95" s="45">
        <f t="shared" si="121"/>
        <v>9252.7999999999993</v>
      </c>
      <c r="U95" s="45">
        <f t="shared" si="121"/>
        <v>9252.7999999999993</v>
      </c>
      <c r="V95" s="45">
        <f t="shared" si="121"/>
        <v>0</v>
      </c>
      <c r="W95" s="45">
        <f t="shared" si="121"/>
        <v>0</v>
      </c>
      <c r="X95" s="45">
        <f t="shared" si="121"/>
        <v>48996.854999999996</v>
      </c>
      <c r="Y95" s="45">
        <f t="shared" si="121"/>
        <v>45996.800000000003</v>
      </c>
      <c r="Z95" s="45">
        <f t="shared" si="121"/>
        <v>0</v>
      </c>
      <c r="AA95" s="45">
        <f t="shared" si="121"/>
        <v>0</v>
      </c>
      <c r="AB95" s="45">
        <f t="shared" si="121"/>
        <v>0</v>
      </c>
      <c r="AC95" s="45">
        <f t="shared" si="121"/>
        <v>2977.08</v>
      </c>
      <c r="AD95" s="45">
        <f t="shared" si="121"/>
        <v>0</v>
      </c>
      <c r="AE95" s="45">
        <f t="shared" si="121"/>
        <v>0</v>
      </c>
      <c r="AF95" s="45">
        <f t="shared" si="121"/>
        <v>2345.15</v>
      </c>
      <c r="AG95" s="45">
        <f t="shared" si="121"/>
        <v>0</v>
      </c>
      <c r="AH95" s="46"/>
      <c r="AI95" s="130"/>
    </row>
    <row r="96" spans="1:35" s="134" customFormat="1" ht="78.75" customHeight="1" x14ac:dyDescent="0.25">
      <c r="A96" s="132"/>
      <c r="B96" s="133"/>
      <c r="C96" s="50" t="s">
        <v>31</v>
      </c>
      <c r="D96" s="51">
        <f>SUM(J96,L96,N96,P96,R96,T96,V96,X96,Z96,AB96,AD96,AF96)</f>
        <v>70594.907999999996</v>
      </c>
      <c r="E96" s="51">
        <f>J96+L96+N96+P96+R96+T96+V96+X96+Z96+AB96+AD96+AF96</f>
        <v>70594.907999999996</v>
      </c>
      <c r="F96" s="51">
        <f>G96</f>
        <v>68195.703000000009</v>
      </c>
      <c r="G96" s="51">
        <f>SUM(K96,M96,O96,Q96,S96,U96,W96,Y96,AA96,AC96,AE96,AG96)</f>
        <v>68195.703000000009</v>
      </c>
      <c r="H96" s="51">
        <f t="shared" si="119"/>
        <v>96.601447515166399</v>
      </c>
      <c r="I96" s="51">
        <f>IFERROR(G96/E96*100,0)</f>
        <v>96.601447515166399</v>
      </c>
      <c r="J96" s="83">
        <f>J98+J100</f>
        <v>2080.7109999999998</v>
      </c>
      <c r="K96" s="83">
        <f t="shared" ref="K96:AG96" si="122">K98+K100</f>
        <v>2080.71</v>
      </c>
      <c r="L96" s="83">
        <f t="shared" si="122"/>
        <v>2341.0619999999999</v>
      </c>
      <c r="M96" s="83">
        <f t="shared" si="122"/>
        <v>2341.0630000000001</v>
      </c>
      <c r="N96" s="83">
        <f t="shared" si="122"/>
        <v>3158.08</v>
      </c>
      <c r="O96" s="83">
        <f t="shared" si="122"/>
        <v>3158.08</v>
      </c>
      <c r="P96" s="83">
        <f t="shared" si="122"/>
        <v>500</v>
      </c>
      <c r="Q96" s="83">
        <f t="shared" si="122"/>
        <v>0</v>
      </c>
      <c r="R96" s="83">
        <f t="shared" si="122"/>
        <v>1920.25</v>
      </c>
      <c r="S96" s="83">
        <f t="shared" si="122"/>
        <v>2389.17</v>
      </c>
      <c r="T96" s="83">
        <f>T98+T100</f>
        <v>9252.7999999999993</v>
      </c>
      <c r="U96" s="83">
        <f t="shared" si="122"/>
        <v>9252.7999999999993</v>
      </c>
      <c r="V96" s="83">
        <f t="shared" si="122"/>
        <v>0</v>
      </c>
      <c r="W96" s="83">
        <f t="shared" si="122"/>
        <v>0</v>
      </c>
      <c r="X96" s="83">
        <f t="shared" si="122"/>
        <v>48996.854999999996</v>
      </c>
      <c r="Y96" s="83">
        <f t="shared" si="122"/>
        <v>45996.800000000003</v>
      </c>
      <c r="Z96" s="83">
        <f t="shared" si="122"/>
        <v>0</v>
      </c>
      <c r="AA96" s="83">
        <f t="shared" si="122"/>
        <v>0</v>
      </c>
      <c r="AB96" s="83">
        <f t="shared" si="122"/>
        <v>0</v>
      </c>
      <c r="AC96" s="83">
        <f t="shared" si="122"/>
        <v>2977.08</v>
      </c>
      <c r="AD96" s="83">
        <f t="shared" si="122"/>
        <v>0</v>
      </c>
      <c r="AE96" s="83">
        <f t="shared" si="122"/>
        <v>0</v>
      </c>
      <c r="AF96" s="83">
        <f t="shared" si="122"/>
        <v>2345.15</v>
      </c>
      <c r="AG96" s="83">
        <f t="shared" si="122"/>
        <v>0</v>
      </c>
      <c r="AH96" s="52"/>
      <c r="AI96" s="130"/>
    </row>
    <row r="97" spans="1:35" s="1" customFormat="1" ht="60" customHeight="1" x14ac:dyDescent="0.25">
      <c r="A97" s="128"/>
      <c r="B97" s="125" t="s">
        <v>77</v>
      </c>
      <c r="C97" s="43" t="s">
        <v>28</v>
      </c>
      <c r="D97" s="44">
        <f>D98</f>
        <v>62555.202999999994</v>
      </c>
      <c r="E97" s="44">
        <f t="shared" ref="E97:G97" si="123">E98</f>
        <v>62555.202999999994</v>
      </c>
      <c r="F97" s="44">
        <f t="shared" si="123"/>
        <v>62501.203000000009</v>
      </c>
      <c r="G97" s="44">
        <f t="shared" si="123"/>
        <v>62501.203000000009</v>
      </c>
      <c r="H97" s="44">
        <f t="shared" si="119"/>
        <v>99.913676245283739</v>
      </c>
      <c r="I97" s="44">
        <f t="shared" si="120"/>
        <v>99.913676245283739</v>
      </c>
      <c r="J97" s="45">
        <f t="shared" ref="J97:AG97" si="124">SUM(J98:J98)</f>
        <v>2080.7109999999998</v>
      </c>
      <c r="K97" s="45">
        <f t="shared" si="124"/>
        <v>2080.71</v>
      </c>
      <c r="L97" s="45">
        <f t="shared" si="124"/>
        <v>2341.0619999999999</v>
      </c>
      <c r="M97" s="45">
        <f t="shared" si="124"/>
        <v>2341.0630000000001</v>
      </c>
      <c r="N97" s="45">
        <f t="shared" si="124"/>
        <v>3158.08</v>
      </c>
      <c r="O97" s="45">
        <f t="shared" si="124"/>
        <v>3158.08</v>
      </c>
      <c r="P97" s="45">
        <f t="shared" si="124"/>
        <v>500</v>
      </c>
      <c r="Q97" s="45">
        <f t="shared" si="124"/>
        <v>0</v>
      </c>
      <c r="R97" s="45">
        <f t="shared" si="124"/>
        <v>1920.25</v>
      </c>
      <c r="S97" s="45">
        <f t="shared" si="124"/>
        <v>2389.17</v>
      </c>
      <c r="T97" s="45">
        <f t="shared" si="124"/>
        <v>9252.7999999999993</v>
      </c>
      <c r="U97" s="45">
        <f t="shared" si="124"/>
        <v>9252.7999999999993</v>
      </c>
      <c r="V97" s="45">
        <f t="shared" si="124"/>
        <v>0</v>
      </c>
      <c r="W97" s="45">
        <f t="shared" si="124"/>
        <v>0</v>
      </c>
      <c r="X97" s="45">
        <f t="shared" si="124"/>
        <v>43302.299999999996</v>
      </c>
      <c r="Y97" s="45">
        <f t="shared" si="124"/>
        <v>40302.300000000003</v>
      </c>
      <c r="Z97" s="45">
        <f t="shared" si="124"/>
        <v>0</v>
      </c>
      <c r="AA97" s="45">
        <f t="shared" si="124"/>
        <v>0</v>
      </c>
      <c r="AB97" s="45">
        <f t="shared" si="124"/>
        <v>0</v>
      </c>
      <c r="AC97" s="45">
        <f t="shared" si="124"/>
        <v>2977.08</v>
      </c>
      <c r="AD97" s="45">
        <f t="shared" si="124"/>
        <v>0</v>
      </c>
      <c r="AE97" s="45">
        <f t="shared" si="124"/>
        <v>0</v>
      </c>
      <c r="AF97" s="45">
        <f t="shared" si="124"/>
        <v>0</v>
      </c>
      <c r="AG97" s="45">
        <f t="shared" si="124"/>
        <v>0</v>
      </c>
      <c r="AH97" s="46"/>
    </row>
    <row r="98" spans="1:35" s="1" customFormat="1" ht="48" customHeight="1" x14ac:dyDescent="0.25">
      <c r="A98" s="132"/>
      <c r="B98" s="126"/>
      <c r="C98" s="50" t="s">
        <v>31</v>
      </c>
      <c r="D98" s="51">
        <f>SUM(J98,L98,N98,P98,R98,T98,V98,X98,Z98,AB98,AD98,AF98)</f>
        <v>62555.202999999994</v>
      </c>
      <c r="E98" s="51">
        <f>J98+L98+N98+P98+R98+T98+V98+X98+Z98+AB98</f>
        <v>62555.202999999994</v>
      </c>
      <c r="F98" s="51">
        <f>G98</f>
        <v>62501.203000000009</v>
      </c>
      <c r="G98" s="51">
        <f>SUM(K98,M98,O98,Q98,S98,U98,W98,Y98,AA98,AC98,AE98,AG98)</f>
        <v>62501.203000000009</v>
      </c>
      <c r="H98" s="51">
        <f t="shared" si="119"/>
        <v>99.913676245283739</v>
      </c>
      <c r="I98" s="51">
        <f t="shared" si="120"/>
        <v>99.913676245283739</v>
      </c>
      <c r="J98" s="83">
        <v>2080.7109999999998</v>
      </c>
      <c r="K98" s="83">
        <v>2080.71</v>
      </c>
      <c r="L98" s="83">
        <f>1435.773+905.289</f>
        <v>2341.0619999999999</v>
      </c>
      <c r="M98" s="83">
        <v>2341.0630000000001</v>
      </c>
      <c r="N98" s="83">
        <v>3158.08</v>
      </c>
      <c r="O98" s="83">
        <v>3158.08</v>
      </c>
      <c r="P98" s="83">
        <v>500</v>
      </c>
      <c r="Q98" s="83">
        <v>0</v>
      </c>
      <c r="R98" s="83">
        <v>1920.25</v>
      </c>
      <c r="S98" s="83">
        <v>2389.17</v>
      </c>
      <c r="T98" s="83">
        <f>7955.08+1297.72</f>
        <v>9252.7999999999993</v>
      </c>
      <c r="U98" s="83">
        <v>9252.7999999999993</v>
      </c>
      <c r="V98" s="83">
        <v>0</v>
      </c>
      <c r="W98" s="83">
        <v>0</v>
      </c>
      <c r="X98" s="83">
        <f>12421.63+44756-4000-1920.25-7955.08</f>
        <v>43302.299999999996</v>
      </c>
      <c r="Y98" s="83">
        <v>40302.300000000003</v>
      </c>
      <c r="Z98" s="83">
        <v>0</v>
      </c>
      <c r="AA98" s="83">
        <v>0</v>
      </c>
      <c r="AB98" s="83">
        <v>0</v>
      </c>
      <c r="AC98" s="83">
        <f>2983.02-5.94</f>
        <v>2977.08</v>
      </c>
      <c r="AD98" s="83">
        <v>0</v>
      </c>
      <c r="AE98" s="83">
        <v>0</v>
      </c>
      <c r="AF98" s="83">
        <v>0</v>
      </c>
      <c r="AG98" s="83">
        <v>0</v>
      </c>
      <c r="AH98" s="52" t="s">
        <v>78</v>
      </c>
    </row>
    <row r="99" spans="1:35" s="1" customFormat="1" ht="23.25" customHeight="1" x14ac:dyDescent="0.25">
      <c r="A99" s="128"/>
      <c r="B99" s="90" t="s">
        <v>79</v>
      </c>
      <c r="C99" s="43" t="s">
        <v>28</v>
      </c>
      <c r="D99" s="44">
        <f>D100</f>
        <v>8039.7049999999999</v>
      </c>
      <c r="E99" s="44">
        <f t="shared" ref="E99:G99" si="125">E100</f>
        <v>8039.7049999999999</v>
      </c>
      <c r="F99" s="44">
        <f t="shared" si="125"/>
        <v>5694.5</v>
      </c>
      <c r="G99" s="44">
        <f t="shared" si="125"/>
        <v>5694.5</v>
      </c>
      <c r="H99" s="44">
        <f t="shared" si="119"/>
        <v>70.829713279280767</v>
      </c>
      <c r="I99" s="44">
        <f t="shared" si="120"/>
        <v>70.829713279280767</v>
      </c>
      <c r="J99" s="45">
        <f t="shared" ref="J99:AG99" si="126">SUM(J100:J100)</f>
        <v>0</v>
      </c>
      <c r="K99" s="45">
        <f t="shared" si="126"/>
        <v>0</v>
      </c>
      <c r="L99" s="45">
        <f t="shared" si="126"/>
        <v>0</v>
      </c>
      <c r="M99" s="45">
        <f t="shared" si="126"/>
        <v>0</v>
      </c>
      <c r="N99" s="45">
        <f t="shared" si="126"/>
        <v>0</v>
      </c>
      <c r="O99" s="45">
        <f t="shared" si="126"/>
        <v>0</v>
      </c>
      <c r="P99" s="45">
        <f t="shared" si="126"/>
        <v>0</v>
      </c>
      <c r="Q99" s="45">
        <f t="shared" si="126"/>
        <v>0</v>
      </c>
      <c r="R99" s="45">
        <f t="shared" si="126"/>
        <v>0</v>
      </c>
      <c r="S99" s="45">
        <f t="shared" si="126"/>
        <v>0</v>
      </c>
      <c r="T99" s="45">
        <f t="shared" si="126"/>
        <v>0</v>
      </c>
      <c r="U99" s="45">
        <f t="shared" si="126"/>
        <v>0</v>
      </c>
      <c r="V99" s="45">
        <f t="shared" si="126"/>
        <v>0</v>
      </c>
      <c r="W99" s="45">
        <f t="shared" si="126"/>
        <v>0</v>
      </c>
      <c r="X99" s="45">
        <f t="shared" si="126"/>
        <v>5694.5550000000003</v>
      </c>
      <c r="Y99" s="45">
        <f t="shared" si="126"/>
        <v>5694.5</v>
      </c>
      <c r="Z99" s="45">
        <f t="shared" si="126"/>
        <v>0</v>
      </c>
      <c r="AA99" s="45">
        <f t="shared" si="126"/>
        <v>0</v>
      </c>
      <c r="AB99" s="45">
        <f t="shared" si="126"/>
        <v>0</v>
      </c>
      <c r="AC99" s="45">
        <f t="shared" si="126"/>
        <v>0</v>
      </c>
      <c r="AD99" s="45">
        <f t="shared" si="126"/>
        <v>0</v>
      </c>
      <c r="AE99" s="45">
        <f t="shared" si="126"/>
        <v>0</v>
      </c>
      <c r="AF99" s="45">
        <f t="shared" si="126"/>
        <v>2345.15</v>
      </c>
      <c r="AG99" s="45">
        <f t="shared" si="126"/>
        <v>0</v>
      </c>
      <c r="AH99" s="46" t="s">
        <v>80</v>
      </c>
    </row>
    <row r="100" spans="1:35" s="1" customFormat="1" ht="276.75" customHeight="1" x14ac:dyDescent="0.25">
      <c r="A100" s="132"/>
      <c r="B100" s="90"/>
      <c r="C100" s="50" t="s">
        <v>31</v>
      </c>
      <c r="D100" s="51">
        <f>SUM(J100,L100,N100,P100,R100,T100,V100,X100,Z100,AB100,AD100,AF100)</f>
        <v>8039.7049999999999</v>
      </c>
      <c r="E100" s="51">
        <f>J100+L100+N100+P100+R100+T100+V100+X100+Z100+AB100+AF100</f>
        <v>8039.7049999999999</v>
      </c>
      <c r="F100" s="51">
        <f>G100</f>
        <v>5694.5</v>
      </c>
      <c r="G100" s="51">
        <f>SUM(K100,M100,O100,Q100,S100,U100,W100,Y100,AA100,AC100,AE100,AG100)</f>
        <v>5694.5</v>
      </c>
      <c r="H100" s="51">
        <f t="shared" si="119"/>
        <v>70.829713279280767</v>
      </c>
      <c r="I100" s="51">
        <f t="shared" si="120"/>
        <v>70.829713279280767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83">
        <v>0</v>
      </c>
      <c r="T100" s="83">
        <v>0</v>
      </c>
      <c r="U100" s="83">
        <v>0</v>
      </c>
      <c r="V100" s="83">
        <v>0</v>
      </c>
      <c r="W100" s="83">
        <v>0</v>
      </c>
      <c r="X100" s="83">
        <v>5694.5550000000003</v>
      </c>
      <c r="Y100" s="83">
        <v>5694.5</v>
      </c>
      <c r="Z100" s="83">
        <v>0</v>
      </c>
      <c r="AA100" s="83">
        <v>0</v>
      </c>
      <c r="AB100" s="83">
        <v>0</v>
      </c>
      <c r="AC100" s="83">
        <v>0</v>
      </c>
      <c r="AD100" s="83">
        <v>0</v>
      </c>
      <c r="AE100" s="83">
        <v>0</v>
      </c>
      <c r="AF100" s="83">
        <v>2345.15</v>
      </c>
      <c r="AG100" s="83">
        <v>0</v>
      </c>
      <c r="AH100" s="52" t="s">
        <v>81</v>
      </c>
    </row>
    <row r="101" spans="1:35" s="1" customFormat="1" ht="33" customHeight="1" x14ac:dyDescent="0.25">
      <c r="A101" s="136"/>
      <c r="B101" s="57" t="s">
        <v>82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9"/>
      <c r="AH101" s="52"/>
    </row>
    <row r="102" spans="1:35" s="131" customFormat="1" ht="45.75" customHeight="1" x14ac:dyDescent="0.25">
      <c r="A102" s="128" t="s">
        <v>83</v>
      </c>
      <c r="B102" s="129" t="s">
        <v>84</v>
      </c>
      <c r="C102" s="43" t="s">
        <v>28</v>
      </c>
      <c r="D102" s="44">
        <f>D103</f>
        <v>52561.2</v>
      </c>
      <c r="E102" s="44">
        <f t="shared" ref="E102:G102" si="127">E103</f>
        <v>52561.2</v>
      </c>
      <c r="F102" s="44">
        <f t="shared" si="127"/>
        <v>51607.5</v>
      </c>
      <c r="G102" s="44">
        <f t="shared" si="127"/>
        <v>51607.5</v>
      </c>
      <c r="H102" s="44">
        <f t="shared" ref="H102:H105" si="128">IFERROR(G102/D102*100,0)</f>
        <v>98.185543709047735</v>
      </c>
      <c r="I102" s="44">
        <f t="shared" ref="I102:I115" si="129">IFERROR(G102/E102*100,0)</f>
        <v>98.185543709047735</v>
      </c>
      <c r="J102" s="45">
        <f t="shared" ref="J102:AG102" si="130">SUM(J103:J103)</f>
        <v>5251.0879999999997</v>
      </c>
      <c r="K102" s="45">
        <f t="shared" si="130"/>
        <v>4538.9799999999996</v>
      </c>
      <c r="L102" s="45">
        <f t="shared" si="130"/>
        <v>4578</v>
      </c>
      <c r="M102" s="45">
        <f t="shared" si="130"/>
        <v>4578</v>
      </c>
      <c r="N102" s="45">
        <f t="shared" si="130"/>
        <v>3906</v>
      </c>
      <c r="O102" s="45">
        <f t="shared" si="130"/>
        <v>2968.32</v>
      </c>
      <c r="P102" s="45">
        <f t="shared" si="130"/>
        <v>3778.1</v>
      </c>
      <c r="Q102" s="45">
        <f t="shared" si="130"/>
        <v>3537.36</v>
      </c>
      <c r="R102" s="45">
        <f t="shared" si="130"/>
        <v>8618</v>
      </c>
      <c r="S102" s="45">
        <f t="shared" si="130"/>
        <v>3574.06</v>
      </c>
      <c r="T102" s="45">
        <f t="shared" si="130"/>
        <v>7014</v>
      </c>
      <c r="U102" s="45">
        <f t="shared" si="130"/>
        <v>3969.58</v>
      </c>
      <c r="V102" s="45">
        <f t="shared" si="130"/>
        <v>3144</v>
      </c>
      <c r="W102" s="45">
        <f t="shared" si="130"/>
        <v>3144</v>
      </c>
      <c r="X102" s="45">
        <f t="shared" si="130"/>
        <v>2906</v>
      </c>
      <c r="Y102" s="45">
        <f t="shared" si="130"/>
        <v>2806</v>
      </c>
      <c r="Z102" s="45">
        <f t="shared" si="130"/>
        <v>4016</v>
      </c>
      <c r="AA102" s="45">
        <f t="shared" si="130"/>
        <v>4035.61</v>
      </c>
      <c r="AB102" s="45">
        <f t="shared" si="130"/>
        <v>3460.93</v>
      </c>
      <c r="AC102" s="45">
        <f t="shared" si="130"/>
        <v>6288.33</v>
      </c>
      <c r="AD102" s="45">
        <f t="shared" si="130"/>
        <v>1638.3220000000001</v>
      </c>
      <c r="AE102" s="45">
        <f t="shared" si="130"/>
        <v>1638.32</v>
      </c>
      <c r="AF102" s="45">
        <f t="shared" si="130"/>
        <v>4250.76</v>
      </c>
      <c r="AG102" s="45">
        <f t="shared" si="130"/>
        <v>10528.939999999999</v>
      </c>
      <c r="AH102" s="46"/>
      <c r="AI102" s="130"/>
    </row>
    <row r="103" spans="1:35" s="134" customFormat="1" ht="78" customHeight="1" x14ac:dyDescent="0.25">
      <c r="A103" s="132"/>
      <c r="B103" s="133"/>
      <c r="C103" s="50" t="s">
        <v>31</v>
      </c>
      <c r="D103" s="51">
        <f>SUM(J103,L103,N103,P103,R103,T103,V103,X103,Z103,AB103,AD103,AF103)</f>
        <v>52561.2</v>
      </c>
      <c r="E103" s="51">
        <f>J103+L103+N103+P103+R103+T103+V103+X103+AB103+Z103+AD103+AF103</f>
        <v>52561.2</v>
      </c>
      <c r="F103" s="51">
        <f>G103</f>
        <v>51607.5</v>
      </c>
      <c r="G103" s="51">
        <f>SUM(K103,M103,O103,Q103,S103,U103,W103,Y103,AA103,AC103,AE103,AG103)</f>
        <v>51607.5</v>
      </c>
      <c r="H103" s="51">
        <f t="shared" si="128"/>
        <v>98.185543709047735</v>
      </c>
      <c r="I103" s="51">
        <f>IFERROR(G103/E103*100,0)</f>
        <v>98.185543709047735</v>
      </c>
      <c r="J103" s="83">
        <f>J105+J107</f>
        <v>5251.0879999999997</v>
      </c>
      <c r="K103" s="83">
        <f t="shared" ref="K103:AG103" si="131">K105+K107</f>
        <v>4538.9799999999996</v>
      </c>
      <c r="L103" s="83">
        <f t="shared" si="131"/>
        <v>4578</v>
      </c>
      <c r="M103" s="83">
        <f t="shared" si="131"/>
        <v>4578</v>
      </c>
      <c r="N103" s="83">
        <f t="shared" si="131"/>
        <v>3906</v>
      </c>
      <c r="O103" s="83">
        <f t="shared" si="131"/>
        <v>2968.32</v>
      </c>
      <c r="P103" s="83">
        <f t="shared" si="131"/>
        <v>3778.1</v>
      </c>
      <c r="Q103" s="83">
        <f t="shared" si="131"/>
        <v>3537.36</v>
      </c>
      <c r="R103" s="83">
        <f t="shared" si="131"/>
        <v>8618</v>
      </c>
      <c r="S103" s="83">
        <f t="shared" si="131"/>
        <v>3574.06</v>
      </c>
      <c r="T103" s="83">
        <f t="shared" si="131"/>
        <v>7014</v>
      </c>
      <c r="U103" s="83">
        <f t="shared" si="131"/>
        <v>3969.58</v>
      </c>
      <c r="V103" s="83">
        <f t="shared" si="131"/>
        <v>3144</v>
      </c>
      <c r="W103" s="83">
        <f t="shared" si="131"/>
        <v>3144</v>
      </c>
      <c r="X103" s="83">
        <f t="shared" si="131"/>
        <v>2906</v>
      </c>
      <c r="Y103" s="83">
        <f t="shared" si="131"/>
        <v>2806</v>
      </c>
      <c r="Z103" s="83">
        <f t="shared" si="131"/>
        <v>4016</v>
      </c>
      <c r="AA103" s="83">
        <f t="shared" si="131"/>
        <v>4035.61</v>
      </c>
      <c r="AB103" s="83">
        <f t="shared" si="131"/>
        <v>3460.93</v>
      </c>
      <c r="AC103" s="83">
        <f t="shared" si="131"/>
        <v>6288.33</v>
      </c>
      <c r="AD103" s="83">
        <f t="shared" si="131"/>
        <v>1638.3220000000001</v>
      </c>
      <c r="AE103" s="83">
        <f t="shared" si="131"/>
        <v>1638.32</v>
      </c>
      <c r="AF103" s="83">
        <f t="shared" si="131"/>
        <v>4250.76</v>
      </c>
      <c r="AG103" s="83">
        <f t="shared" si="131"/>
        <v>10528.939999999999</v>
      </c>
      <c r="AH103" s="52"/>
      <c r="AI103" s="130"/>
    </row>
    <row r="104" spans="1:35" s="1" customFormat="1" ht="60" customHeight="1" x14ac:dyDescent="0.25">
      <c r="A104" s="128"/>
      <c r="B104" s="125" t="s">
        <v>85</v>
      </c>
      <c r="C104" s="43" t="s">
        <v>28</v>
      </c>
      <c r="D104" s="44">
        <f>D105</f>
        <v>52361.2</v>
      </c>
      <c r="E104" s="44">
        <f t="shared" ref="E104:G104" si="132">E105</f>
        <v>52361.2</v>
      </c>
      <c r="F104" s="44">
        <f t="shared" si="132"/>
        <v>51408</v>
      </c>
      <c r="G104" s="44">
        <f t="shared" si="132"/>
        <v>51408</v>
      </c>
      <c r="H104" s="44">
        <f t="shared" si="128"/>
        <v>98.179568077125808</v>
      </c>
      <c r="I104" s="44">
        <f t="shared" si="129"/>
        <v>98.179568077125808</v>
      </c>
      <c r="J104" s="45">
        <f t="shared" ref="J104:AG104" si="133">SUM(J105:J105)</f>
        <v>5251.0879999999997</v>
      </c>
      <c r="K104" s="45">
        <f t="shared" si="133"/>
        <v>4538.9799999999996</v>
      </c>
      <c r="L104" s="45">
        <f t="shared" si="133"/>
        <v>4578</v>
      </c>
      <c r="M104" s="45">
        <f t="shared" si="133"/>
        <v>4578</v>
      </c>
      <c r="N104" s="45">
        <f t="shared" si="133"/>
        <v>3906</v>
      </c>
      <c r="O104" s="45">
        <f t="shared" si="133"/>
        <v>2968.32</v>
      </c>
      <c r="P104" s="45">
        <f t="shared" si="133"/>
        <v>3778.1</v>
      </c>
      <c r="Q104" s="45">
        <f t="shared" si="133"/>
        <v>3537.36</v>
      </c>
      <c r="R104" s="45">
        <f t="shared" si="133"/>
        <v>8618</v>
      </c>
      <c r="S104" s="45">
        <f t="shared" si="133"/>
        <v>3574.06</v>
      </c>
      <c r="T104" s="45">
        <f t="shared" si="133"/>
        <v>7014</v>
      </c>
      <c r="U104" s="45">
        <f t="shared" si="133"/>
        <v>3969.58</v>
      </c>
      <c r="V104" s="45">
        <f t="shared" si="133"/>
        <v>3144</v>
      </c>
      <c r="W104" s="45">
        <f t="shared" si="133"/>
        <v>3144</v>
      </c>
      <c r="X104" s="45">
        <f t="shared" si="133"/>
        <v>2806</v>
      </c>
      <c r="Y104" s="45">
        <f t="shared" si="133"/>
        <v>2806</v>
      </c>
      <c r="Z104" s="45">
        <f t="shared" si="133"/>
        <v>3916</v>
      </c>
      <c r="AA104" s="45">
        <f t="shared" si="133"/>
        <v>3916</v>
      </c>
      <c r="AB104" s="45">
        <f t="shared" si="133"/>
        <v>3460.93</v>
      </c>
      <c r="AC104" s="45">
        <f t="shared" si="133"/>
        <v>6288.33</v>
      </c>
      <c r="AD104" s="45">
        <f t="shared" si="133"/>
        <v>1638.3220000000001</v>
      </c>
      <c r="AE104" s="45">
        <f t="shared" si="133"/>
        <v>1638.32</v>
      </c>
      <c r="AF104" s="45">
        <f t="shared" si="133"/>
        <v>4250.76</v>
      </c>
      <c r="AG104" s="45">
        <f t="shared" si="133"/>
        <v>10449.049999999999</v>
      </c>
      <c r="AH104" s="46"/>
    </row>
    <row r="105" spans="1:35" s="1" customFormat="1" ht="62.25" customHeight="1" x14ac:dyDescent="0.25">
      <c r="A105" s="132"/>
      <c r="B105" s="126"/>
      <c r="C105" s="50" t="s">
        <v>31</v>
      </c>
      <c r="D105" s="51">
        <f>SUM(J105,L105,N105,P105,R105,T105,V105,X105,Z105,AB105,AD105,AF105)</f>
        <v>52361.2</v>
      </c>
      <c r="E105" s="51">
        <f>J105+L105+N105+P105+R105+T105+V105+X105+Z105+AB105+AD105+AF105</f>
        <v>52361.2</v>
      </c>
      <c r="F105" s="51">
        <f>G105</f>
        <v>51408</v>
      </c>
      <c r="G105" s="51">
        <f>SUM(K105,M105,O105,Q105,S105,U105,W105,Y105,AA105,AC105,AE105,AG105)</f>
        <v>51408</v>
      </c>
      <c r="H105" s="51">
        <f t="shared" si="128"/>
        <v>98.179568077125808</v>
      </c>
      <c r="I105" s="51">
        <f t="shared" si="129"/>
        <v>98.179568077125808</v>
      </c>
      <c r="J105" s="83">
        <v>5251.0879999999997</v>
      </c>
      <c r="K105" s="83">
        <v>4538.9799999999996</v>
      </c>
      <c r="L105" s="83">
        <v>4578</v>
      </c>
      <c r="M105" s="83">
        <v>4578</v>
      </c>
      <c r="N105" s="83">
        <v>3906</v>
      </c>
      <c r="O105" s="83">
        <v>2968.32</v>
      </c>
      <c r="P105" s="83">
        <v>3778.1</v>
      </c>
      <c r="Q105" s="83">
        <v>3537.36</v>
      </c>
      <c r="R105" s="83">
        <v>8618</v>
      </c>
      <c r="S105" s="83">
        <v>3574.06</v>
      </c>
      <c r="T105" s="83">
        <v>7014</v>
      </c>
      <c r="U105" s="83">
        <v>3969.58</v>
      </c>
      <c r="V105" s="83">
        <v>3144</v>
      </c>
      <c r="W105" s="83">
        <v>3144</v>
      </c>
      <c r="X105" s="83">
        <v>2806</v>
      </c>
      <c r="Y105" s="83">
        <v>2806</v>
      </c>
      <c r="Z105" s="83">
        <v>3916</v>
      </c>
      <c r="AA105" s="83">
        <v>3916</v>
      </c>
      <c r="AB105" s="83">
        <f>145.93+3315</f>
        <v>3460.93</v>
      </c>
      <c r="AC105" s="83">
        <v>6288.33</v>
      </c>
      <c r="AD105" s="83">
        <f>3112.452-1770.4+296.27</f>
        <v>1638.3220000000001</v>
      </c>
      <c r="AE105" s="83">
        <v>1638.32</v>
      </c>
      <c r="AF105" s="83">
        <f>2616.9+1633.86</f>
        <v>4250.76</v>
      </c>
      <c r="AG105" s="83">
        <v>10449.049999999999</v>
      </c>
      <c r="AH105" s="52" t="s">
        <v>86</v>
      </c>
    </row>
    <row r="106" spans="1:35" s="1" customFormat="1" ht="23.25" customHeight="1" x14ac:dyDescent="0.25">
      <c r="A106" s="128"/>
      <c r="B106" s="90" t="s">
        <v>87</v>
      </c>
      <c r="C106" s="43" t="s">
        <v>28</v>
      </c>
      <c r="D106" s="44">
        <f>D107</f>
        <v>200</v>
      </c>
      <c r="E106" s="44">
        <f t="shared" ref="E106:G106" si="134">E107</f>
        <v>200</v>
      </c>
      <c r="F106" s="44">
        <f t="shared" si="134"/>
        <v>199.5</v>
      </c>
      <c r="G106" s="44">
        <f t="shared" si="134"/>
        <v>199.5</v>
      </c>
      <c r="H106" s="44">
        <f>IFERROR(G106/D106*100,0)</f>
        <v>99.75</v>
      </c>
      <c r="I106" s="44">
        <f t="shared" si="129"/>
        <v>99.75</v>
      </c>
      <c r="J106" s="45">
        <f t="shared" ref="J106:AG106" si="135">SUM(J107:J107)</f>
        <v>0</v>
      </c>
      <c r="K106" s="45">
        <f t="shared" si="135"/>
        <v>0</v>
      </c>
      <c r="L106" s="45">
        <f t="shared" si="135"/>
        <v>0</v>
      </c>
      <c r="M106" s="45">
        <f t="shared" si="135"/>
        <v>0</v>
      </c>
      <c r="N106" s="45">
        <f t="shared" si="135"/>
        <v>0</v>
      </c>
      <c r="O106" s="45">
        <f t="shared" si="135"/>
        <v>0</v>
      </c>
      <c r="P106" s="45">
        <f t="shared" si="135"/>
        <v>0</v>
      </c>
      <c r="Q106" s="45">
        <f t="shared" si="135"/>
        <v>0</v>
      </c>
      <c r="R106" s="45">
        <f t="shared" si="135"/>
        <v>0</v>
      </c>
      <c r="S106" s="45">
        <f t="shared" si="135"/>
        <v>0</v>
      </c>
      <c r="T106" s="45">
        <f t="shared" si="135"/>
        <v>0</v>
      </c>
      <c r="U106" s="45">
        <f t="shared" si="135"/>
        <v>0</v>
      </c>
      <c r="V106" s="45">
        <f t="shared" si="135"/>
        <v>0</v>
      </c>
      <c r="W106" s="45">
        <f t="shared" si="135"/>
        <v>0</v>
      </c>
      <c r="X106" s="45">
        <f t="shared" si="135"/>
        <v>100</v>
      </c>
      <c r="Y106" s="45">
        <f t="shared" si="135"/>
        <v>0</v>
      </c>
      <c r="Z106" s="45">
        <f t="shared" si="135"/>
        <v>100</v>
      </c>
      <c r="AA106" s="45">
        <f t="shared" si="135"/>
        <v>119.61</v>
      </c>
      <c r="AB106" s="45">
        <f t="shared" si="135"/>
        <v>0</v>
      </c>
      <c r="AC106" s="45">
        <f t="shared" si="135"/>
        <v>0</v>
      </c>
      <c r="AD106" s="45">
        <f t="shared" si="135"/>
        <v>0</v>
      </c>
      <c r="AE106" s="45">
        <f t="shared" si="135"/>
        <v>0</v>
      </c>
      <c r="AF106" s="45">
        <f t="shared" si="135"/>
        <v>0</v>
      </c>
      <c r="AG106" s="45">
        <f t="shared" si="135"/>
        <v>79.89</v>
      </c>
      <c r="AH106" s="46"/>
    </row>
    <row r="107" spans="1:35" s="1" customFormat="1" ht="42" customHeight="1" x14ac:dyDescent="0.25">
      <c r="A107" s="132"/>
      <c r="B107" s="90"/>
      <c r="C107" s="50" t="s">
        <v>31</v>
      </c>
      <c r="D107" s="51">
        <f>SUM(J107,L107,N107,P107,R107,T107,V107,X107,Z107,AB107,AD107,AF107)</f>
        <v>200</v>
      </c>
      <c r="E107" s="51">
        <f>J107+L107+N107+P107+R107+T107+V107+X107+Z107+AB107</f>
        <v>200</v>
      </c>
      <c r="F107" s="51">
        <f>G107</f>
        <v>199.5</v>
      </c>
      <c r="G107" s="51">
        <f>SUM(K107,M107,O107,Q107,S107,U107,W107,Y107,AA107,AC107,AE107,AG107)</f>
        <v>199.5</v>
      </c>
      <c r="H107" s="51">
        <f>IFERROR(G107/D107*100,0)</f>
        <v>99.75</v>
      </c>
      <c r="I107" s="51">
        <f t="shared" si="129"/>
        <v>99.75</v>
      </c>
      <c r="J107" s="83">
        <v>0</v>
      </c>
      <c r="K107" s="83">
        <v>0</v>
      </c>
      <c r="L107" s="83">
        <v>0</v>
      </c>
      <c r="M107" s="83">
        <v>0</v>
      </c>
      <c r="N107" s="83">
        <v>0</v>
      </c>
      <c r="O107" s="83">
        <v>0</v>
      </c>
      <c r="P107" s="83">
        <v>0</v>
      </c>
      <c r="Q107" s="83">
        <v>0</v>
      </c>
      <c r="R107" s="83">
        <v>0</v>
      </c>
      <c r="S107" s="83">
        <v>0</v>
      </c>
      <c r="T107" s="83">
        <v>0</v>
      </c>
      <c r="U107" s="83">
        <v>0</v>
      </c>
      <c r="V107" s="83">
        <v>0</v>
      </c>
      <c r="W107" s="83">
        <v>0</v>
      </c>
      <c r="X107" s="83">
        <v>100</v>
      </c>
      <c r="Y107" s="83">
        <v>0</v>
      </c>
      <c r="Z107" s="83">
        <v>100</v>
      </c>
      <c r="AA107" s="83">
        <v>119.61</v>
      </c>
      <c r="AB107" s="83">
        <v>0</v>
      </c>
      <c r="AC107" s="83">
        <v>0</v>
      </c>
      <c r="AD107" s="83">
        <v>0</v>
      </c>
      <c r="AE107" s="83">
        <v>0</v>
      </c>
      <c r="AF107" s="83">
        <v>0</v>
      </c>
      <c r="AG107" s="83">
        <v>79.89</v>
      </c>
      <c r="AH107" s="52"/>
    </row>
    <row r="108" spans="1:35" s="1" customFormat="1" ht="132" customHeight="1" x14ac:dyDescent="0.25">
      <c r="A108" s="137"/>
      <c r="B108" s="138" t="s">
        <v>88</v>
      </c>
      <c r="C108" s="139" t="s">
        <v>28</v>
      </c>
      <c r="D108" s="140">
        <f>D109+D110+D111</f>
        <v>1440.52</v>
      </c>
      <c r="E108" s="140">
        <f t="shared" ref="E108:F108" si="136">E109+E110+E111</f>
        <v>1440.52</v>
      </c>
      <c r="F108" s="140">
        <f t="shared" si="136"/>
        <v>1440.52</v>
      </c>
      <c r="G108" s="140">
        <f>G109+G110+G111</f>
        <v>1440.52</v>
      </c>
      <c r="H108" s="44">
        <f t="shared" ref="H108:H115" si="137">IFERROR(G108/D108*100,0)</f>
        <v>100</v>
      </c>
      <c r="I108" s="44">
        <f t="shared" si="129"/>
        <v>100</v>
      </c>
      <c r="J108" s="141">
        <f>SUM(J109+J110+J111)</f>
        <v>0</v>
      </c>
      <c r="K108" s="141">
        <f t="shared" ref="K108:AG108" si="138">SUM(K109+K110+K111)</f>
        <v>0</v>
      </c>
      <c r="L108" s="141">
        <f t="shared" si="138"/>
        <v>0</v>
      </c>
      <c r="M108" s="141">
        <f t="shared" si="138"/>
        <v>0</v>
      </c>
      <c r="N108" s="141">
        <f t="shared" si="138"/>
        <v>0</v>
      </c>
      <c r="O108" s="141">
        <f t="shared" si="138"/>
        <v>0</v>
      </c>
      <c r="P108" s="141">
        <f t="shared" si="138"/>
        <v>0</v>
      </c>
      <c r="Q108" s="141">
        <f t="shared" si="138"/>
        <v>0</v>
      </c>
      <c r="R108" s="141">
        <f t="shared" si="138"/>
        <v>1440.52</v>
      </c>
      <c r="S108" s="141">
        <f t="shared" si="138"/>
        <v>0</v>
      </c>
      <c r="T108" s="141">
        <f t="shared" si="138"/>
        <v>0</v>
      </c>
      <c r="U108" s="141">
        <f t="shared" si="138"/>
        <v>0</v>
      </c>
      <c r="V108" s="141">
        <f t="shared" si="138"/>
        <v>0</v>
      </c>
      <c r="W108" s="141">
        <f t="shared" si="138"/>
        <v>0</v>
      </c>
      <c r="X108" s="141">
        <f t="shared" si="138"/>
        <v>0</v>
      </c>
      <c r="Y108" s="141">
        <f t="shared" si="138"/>
        <v>0</v>
      </c>
      <c r="Z108" s="141">
        <f t="shared" si="138"/>
        <v>0</v>
      </c>
      <c r="AA108" s="141">
        <f t="shared" si="138"/>
        <v>0</v>
      </c>
      <c r="AB108" s="141">
        <f t="shared" si="138"/>
        <v>0</v>
      </c>
      <c r="AC108" s="141">
        <f t="shared" si="138"/>
        <v>1440.52</v>
      </c>
      <c r="AD108" s="141">
        <f t="shared" si="138"/>
        <v>0</v>
      </c>
      <c r="AE108" s="141">
        <f t="shared" si="138"/>
        <v>0</v>
      </c>
      <c r="AF108" s="141">
        <f t="shared" si="138"/>
        <v>0</v>
      </c>
      <c r="AG108" s="141">
        <f t="shared" si="138"/>
        <v>0</v>
      </c>
      <c r="AH108" s="142" t="s">
        <v>89</v>
      </c>
    </row>
    <row r="109" spans="1:35" s="1" customFormat="1" ht="71.25" customHeight="1" x14ac:dyDescent="0.25">
      <c r="A109" s="143"/>
      <c r="B109" s="144"/>
      <c r="C109" s="71" t="s">
        <v>30</v>
      </c>
      <c r="D109" s="44">
        <f>J109+L109+N109+P109+R109+T109+V109</f>
        <v>1006.2</v>
      </c>
      <c r="E109" s="44">
        <f>J109+L109+N109+P109+R109</f>
        <v>1006.2</v>
      </c>
      <c r="F109" s="44">
        <f>G109</f>
        <v>1006.2</v>
      </c>
      <c r="G109" s="44">
        <f>K109+M109+O109+Q109+S109+U109+W109+Y109+AA109+AC109+AE109+AG109</f>
        <v>1006.2</v>
      </c>
      <c r="H109" s="44">
        <f t="shared" si="137"/>
        <v>100</v>
      </c>
      <c r="I109" s="44">
        <f t="shared" si="129"/>
        <v>100</v>
      </c>
      <c r="J109" s="45"/>
      <c r="K109" s="45"/>
      <c r="L109" s="45"/>
      <c r="M109" s="45"/>
      <c r="N109" s="45"/>
      <c r="O109" s="45"/>
      <c r="P109" s="45"/>
      <c r="Q109" s="45"/>
      <c r="R109" s="145">
        <v>1006.2</v>
      </c>
      <c r="S109" s="145"/>
      <c r="T109" s="45"/>
      <c r="U109" s="45"/>
      <c r="V109" s="45"/>
      <c r="W109" s="45"/>
      <c r="X109" s="45"/>
      <c r="Y109" s="45"/>
      <c r="Z109" s="45"/>
      <c r="AA109" s="45"/>
      <c r="AB109" s="45"/>
      <c r="AC109" s="45">
        <v>1006.2</v>
      </c>
      <c r="AD109" s="45"/>
      <c r="AE109" s="45"/>
      <c r="AF109" s="45"/>
      <c r="AG109" s="45"/>
      <c r="AH109" s="46"/>
    </row>
    <row r="110" spans="1:35" ht="30" x14ac:dyDescent="0.25">
      <c r="A110" s="146"/>
      <c r="B110" s="146"/>
      <c r="C110" s="50" t="s">
        <v>68</v>
      </c>
      <c r="D110" s="44">
        <f t="shared" ref="D110:D111" si="139">J110+L110+N110+P110+R110+T110+V110</f>
        <v>333.32</v>
      </c>
      <c r="E110" s="44">
        <f t="shared" ref="E110:E111" si="140">J110+L110+N110+P110+R110</f>
        <v>333.32</v>
      </c>
      <c r="F110" s="44">
        <f t="shared" ref="F110:F111" si="141">G110</f>
        <v>333.32</v>
      </c>
      <c r="G110" s="44">
        <f t="shared" ref="G110:G111" si="142">K110+M110+O110+Q110+S110+U110+W110+Y110+AA110+AC110+AE110+AG110</f>
        <v>333.32</v>
      </c>
      <c r="H110" s="44">
        <f t="shared" si="137"/>
        <v>100</v>
      </c>
      <c r="I110" s="44">
        <f t="shared" si="129"/>
        <v>100</v>
      </c>
      <c r="J110" s="146"/>
      <c r="K110" s="146"/>
      <c r="L110" s="146"/>
      <c r="M110" s="146"/>
      <c r="N110" s="146"/>
      <c r="O110" s="146"/>
      <c r="P110" s="146"/>
      <c r="Q110" s="146"/>
      <c r="R110" s="147">
        <v>333.32</v>
      </c>
      <c r="S110" s="148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>
        <v>333.32</v>
      </c>
      <c r="AD110" s="146"/>
      <c r="AE110" s="146"/>
      <c r="AF110" s="146"/>
      <c r="AG110" s="146"/>
      <c r="AH110" s="146"/>
    </row>
    <row r="111" spans="1:35" ht="30" x14ac:dyDescent="0.25">
      <c r="A111" s="146"/>
      <c r="B111" s="146"/>
      <c r="C111" s="71" t="s">
        <v>31</v>
      </c>
      <c r="D111" s="44">
        <f t="shared" si="139"/>
        <v>101</v>
      </c>
      <c r="E111" s="44">
        <f t="shared" si="140"/>
        <v>101</v>
      </c>
      <c r="F111" s="44">
        <f t="shared" si="141"/>
        <v>101</v>
      </c>
      <c r="G111" s="44">
        <f t="shared" si="142"/>
        <v>101</v>
      </c>
      <c r="H111" s="44">
        <f t="shared" si="137"/>
        <v>100</v>
      </c>
      <c r="I111" s="44">
        <f t="shared" si="129"/>
        <v>100</v>
      </c>
      <c r="J111" s="146"/>
      <c r="K111" s="146"/>
      <c r="L111" s="146"/>
      <c r="M111" s="146"/>
      <c r="N111" s="146"/>
      <c r="O111" s="146"/>
      <c r="P111" s="146"/>
      <c r="Q111" s="146"/>
      <c r="R111" s="147">
        <v>101</v>
      </c>
      <c r="S111" s="148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>
        <v>101</v>
      </c>
      <c r="AD111" s="146"/>
      <c r="AE111" s="146"/>
      <c r="AF111" s="146"/>
      <c r="AG111" s="146"/>
      <c r="AH111" s="146"/>
    </row>
    <row r="112" spans="1:35" s="1" customFormat="1" ht="78.75" x14ac:dyDescent="0.25">
      <c r="A112" s="137"/>
      <c r="B112" s="138" t="s">
        <v>90</v>
      </c>
      <c r="C112" s="139" t="s">
        <v>28</v>
      </c>
      <c r="D112" s="140">
        <f>D113</f>
        <v>2477.56</v>
      </c>
      <c r="E112" s="140">
        <f>E113</f>
        <v>2477.56</v>
      </c>
      <c r="F112" s="140">
        <f t="shared" ref="F112:G112" si="143">F113</f>
        <v>2477.56</v>
      </c>
      <c r="G112" s="140">
        <f t="shared" si="143"/>
        <v>2477.56</v>
      </c>
      <c r="H112" s="44">
        <f t="shared" si="137"/>
        <v>100</v>
      </c>
      <c r="I112" s="44">
        <f t="shared" si="129"/>
        <v>100</v>
      </c>
      <c r="J112" s="141">
        <f>SUM(J113)</f>
        <v>0</v>
      </c>
      <c r="K112" s="141">
        <f t="shared" ref="K112:AG112" si="144">SUM(K113)</f>
        <v>0</v>
      </c>
      <c r="L112" s="141">
        <f t="shared" si="144"/>
        <v>0</v>
      </c>
      <c r="M112" s="141">
        <f t="shared" si="144"/>
        <v>0</v>
      </c>
      <c r="N112" s="141">
        <f t="shared" si="144"/>
        <v>0</v>
      </c>
      <c r="O112" s="141">
        <f t="shared" si="144"/>
        <v>0</v>
      </c>
      <c r="P112" s="141">
        <f t="shared" si="144"/>
        <v>0</v>
      </c>
      <c r="Q112" s="141">
        <f t="shared" si="144"/>
        <v>0</v>
      </c>
      <c r="R112" s="141">
        <f t="shared" si="144"/>
        <v>0</v>
      </c>
      <c r="S112" s="141">
        <f t="shared" si="144"/>
        <v>0</v>
      </c>
      <c r="T112" s="141">
        <f t="shared" si="144"/>
        <v>0</v>
      </c>
      <c r="U112" s="141">
        <f t="shared" si="144"/>
        <v>0</v>
      </c>
      <c r="V112" s="141">
        <f t="shared" si="144"/>
        <v>0</v>
      </c>
      <c r="W112" s="141">
        <f t="shared" si="144"/>
        <v>0</v>
      </c>
      <c r="X112" s="141">
        <f t="shared" si="144"/>
        <v>0</v>
      </c>
      <c r="Y112" s="141">
        <f t="shared" si="144"/>
        <v>0</v>
      </c>
      <c r="Z112" s="141">
        <f t="shared" si="144"/>
        <v>0</v>
      </c>
      <c r="AA112" s="141">
        <f t="shared" si="144"/>
        <v>0</v>
      </c>
      <c r="AB112" s="141">
        <f t="shared" si="144"/>
        <v>0</v>
      </c>
      <c r="AC112" s="141">
        <f t="shared" si="144"/>
        <v>0</v>
      </c>
      <c r="AD112" s="141">
        <f t="shared" si="144"/>
        <v>0</v>
      </c>
      <c r="AE112" s="141">
        <f t="shared" si="144"/>
        <v>0</v>
      </c>
      <c r="AF112" s="141">
        <f t="shared" si="144"/>
        <v>2477.56</v>
      </c>
      <c r="AG112" s="141">
        <f t="shared" si="144"/>
        <v>2477.56</v>
      </c>
      <c r="AH112" s="142" t="s">
        <v>89</v>
      </c>
    </row>
    <row r="113" spans="1:34" s="1" customFormat="1" ht="30" x14ac:dyDescent="0.25">
      <c r="A113" s="150"/>
      <c r="B113" s="151"/>
      <c r="C113" s="50" t="s">
        <v>31</v>
      </c>
      <c r="D113" s="51">
        <f>J113+L113+N113+P113+R113+T113+V113+X113+Z113+AB113+AD113+AF113</f>
        <v>2477.56</v>
      </c>
      <c r="E113" s="51">
        <f>J113+L113+N113+P113+R113+T113+V113+X113+Z113+AB113+AD113+AF113</f>
        <v>2477.56</v>
      </c>
      <c r="F113" s="51">
        <f>G113</f>
        <v>2477.56</v>
      </c>
      <c r="G113" s="51">
        <f>K113+M113+O113+Q113+S113+U113+W113+Y113+AA113+AC113+AE113+AG113</f>
        <v>2477.56</v>
      </c>
      <c r="H113" s="51">
        <f t="shared" si="137"/>
        <v>100</v>
      </c>
      <c r="I113" s="51">
        <f t="shared" si="129"/>
        <v>100</v>
      </c>
      <c r="J113" s="83"/>
      <c r="K113" s="83"/>
      <c r="L113" s="83"/>
      <c r="M113" s="83"/>
      <c r="N113" s="83"/>
      <c r="O113" s="83"/>
      <c r="P113" s="83"/>
      <c r="Q113" s="83"/>
      <c r="R113" s="152"/>
      <c r="S113" s="152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>
        <v>2477.56</v>
      </c>
      <c r="AG113" s="83">
        <v>2477.56</v>
      </c>
      <c r="AH113" s="52"/>
    </row>
    <row r="114" spans="1:34" s="1" customFormat="1" ht="63" x14ac:dyDescent="0.25">
      <c r="A114" s="137"/>
      <c r="B114" s="138" t="s">
        <v>91</v>
      </c>
      <c r="C114" s="139" t="s">
        <v>28</v>
      </c>
      <c r="D114" s="140">
        <f>D115</f>
        <v>1938.34</v>
      </c>
      <c r="E114" s="140">
        <f>E115</f>
        <v>1938.34</v>
      </c>
      <c r="F114" s="140">
        <f t="shared" ref="F114:G114" si="145">F115</f>
        <v>1938.34</v>
      </c>
      <c r="G114" s="140">
        <f t="shared" si="145"/>
        <v>1938.34</v>
      </c>
      <c r="H114" s="44">
        <f t="shared" si="137"/>
        <v>100</v>
      </c>
      <c r="I114" s="44">
        <f t="shared" si="129"/>
        <v>100</v>
      </c>
      <c r="J114" s="141">
        <f>SUM(J115)</f>
        <v>0</v>
      </c>
      <c r="K114" s="141">
        <f t="shared" ref="K114:AG114" si="146">SUM(K115)</f>
        <v>0</v>
      </c>
      <c r="L114" s="141">
        <f t="shared" si="146"/>
        <v>0</v>
      </c>
      <c r="M114" s="141">
        <f t="shared" si="146"/>
        <v>0</v>
      </c>
      <c r="N114" s="141">
        <f t="shared" si="146"/>
        <v>0</v>
      </c>
      <c r="O114" s="141">
        <f t="shared" si="146"/>
        <v>0</v>
      </c>
      <c r="P114" s="141">
        <f t="shared" si="146"/>
        <v>0</v>
      </c>
      <c r="Q114" s="141">
        <f t="shared" si="146"/>
        <v>0</v>
      </c>
      <c r="R114" s="141">
        <f t="shared" si="146"/>
        <v>0</v>
      </c>
      <c r="S114" s="141">
        <f t="shared" si="146"/>
        <v>0</v>
      </c>
      <c r="T114" s="141">
        <f t="shared" si="146"/>
        <v>0</v>
      </c>
      <c r="U114" s="141">
        <f t="shared" si="146"/>
        <v>0</v>
      </c>
      <c r="V114" s="141">
        <f t="shared" si="146"/>
        <v>0</v>
      </c>
      <c r="W114" s="141">
        <f t="shared" si="146"/>
        <v>0</v>
      </c>
      <c r="X114" s="141">
        <f t="shared" si="146"/>
        <v>0</v>
      </c>
      <c r="Y114" s="141">
        <f t="shared" si="146"/>
        <v>0</v>
      </c>
      <c r="Z114" s="141">
        <f t="shared" si="146"/>
        <v>0</v>
      </c>
      <c r="AA114" s="141">
        <f t="shared" si="146"/>
        <v>0</v>
      </c>
      <c r="AB114" s="141">
        <f t="shared" si="146"/>
        <v>0</v>
      </c>
      <c r="AC114" s="141">
        <f t="shared" si="146"/>
        <v>0</v>
      </c>
      <c r="AD114" s="141">
        <f t="shared" si="146"/>
        <v>0</v>
      </c>
      <c r="AE114" s="141">
        <f t="shared" si="146"/>
        <v>0</v>
      </c>
      <c r="AF114" s="141">
        <f t="shared" si="146"/>
        <v>1938.34</v>
      </c>
      <c r="AG114" s="141">
        <f t="shared" si="146"/>
        <v>1938.34</v>
      </c>
      <c r="AH114" s="142" t="s">
        <v>89</v>
      </c>
    </row>
    <row r="115" spans="1:34" s="1" customFormat="1" ht="30" x14ac:dyDescent="0.25">
      <c r="A115" s="150"/>
      <c r="B115" s="151"/>
      <c r="C115" s="50" t="s">
        <v>31</v>
      </c>
      <c r="D115" s="51">
        <f>J115+L115+N115+P115+R115+T115+V115+X115+Z115+AB115+AD115+AF115</f>
        <v>1938.34</v>
      </c>
      <c r="E115" s="51">
        <f>J115+L115+N115+P115+R115+T115+V115+X115+Z115+AB115+AD115+AF115</f>
        <v>1938.34</v>
      </c>
      <c r="F115" s="51">
        <f>G115</f>
        <v>1938.34</v>
      </c>
      <c r="G115" s="51">
        <f>K115+M115+O115+Q115+S115+U115+W115+Y115+AA115+AC115+AE115+AG115</f>
        <v>1938.34</v>
      </c>
      <c r="H115" s="51">
        <f t="shared" si="137"/>
        <v>100</v>
      </c>
      <c r="I115" s="51">
        <f t="shared" si="129"/>
        <v>100</v>
      </c>
      <c r="J115" s="83"/>
      <c r="K115" s="83"/>
      <c r="L115" s="83"/>
      <c r="M115" s="83"/>
      <c r="N115" s="83"/>
      <c r="O115" s="83"/>
      <c r="P115" s="83"/>
      <c r="Q115" s="83"/>
      <c r="R115" s="152"/>
      <c r="S115" s="152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>
        <v>1938.34</v>
      </c>
      <c r="AG115" s="83">
        <v>1938.34</v>
      </c>
      <c r="AH115" s="52"/>
    </row>
  </sheetData>
  <mergeCells count="85">
    <mergeCell ref="B101:AG101"/>
    <mergeCell ref="A102:A103"/>
    <mergeCell ref="B102:B103"/>
    <mergeCell ref="A104:A105"/>
    <mergeCell ref="B104:B105"/>
    <mergeCell ref="A106:A107"/>
    <mergeCell ref="B106:B107"/>
    <mergeCell ref="B94:AG94"/>
    <mergeCell ref="A95:A96"/>
    <mergeCell ref="B95:B96"/>
    <mergeCell ref="A97:A98"/>
    <mergeCell ref="B97:B98"/>
    <mergeCell ref="A99:A100"/>
    <mergeCell ref="B99:B100"/>
    <mergeCell ref="A88:A89"/>
    <mergeCell ref="B88:B89"/>
    <mergeCell ref="A90:A91"/>
    <mergeCell ref="B90:B91"/>
    <mergeCell ref="A92:A93"/>
    <mergeCell ref="B92:B93"/>
    <mergeCell ref="B76:B80"/>
    <mergeCell ref="A81:A82"/>
    <mergeCell ref="B81:B82"/>
    <mergeCell ref="A83:A85"/>
    <mergeCell ref="B83:B85"/>
    <mergeCell ref="A86:A87"/>
    <mergeCell ref="B86:B87"/>
    <mergeCell ref="B65:B66"/>
    <mergeCell ref="A67:A70"/>
    <mergeCell ref="B67:B70"/>
    <mergeCell ref="B71:AG71"/>
    <mergeCell ref="A72:A75"/>
    <mergeCell ref="B72:B75"/>
    <mergeCell ref="B53:B54"/>
    <mergeCell ref="A55:A57"/>
    <mergeCell ref="B55:B57"/>
    <mergeCell ref="A60:A62"/>
    <mergeCell ref="B60:B62"/>
    <mergeCell ref="B63:B64"/>
    <mergeCell ref="A42:A45"/>
    <mergeCell ref="B42:B45"/>
    <mergeCell ref="B46:B47"/>
    <mergeCell ref="B48:B49"/>
    <mergeCell ref="A50:A52"/>
    <mergeCell ref="B50:B52"/>
    <mergeCell ref="A30:A32"/>
    <mergeCell ref="B30:B32"/>
    <mergeCell ref="A33:A37"/>
    <mergeCell ref="B33:B37"/>
    <mergeCell ref="A38:A41"/>
    <mergeCell ref="B38:B41"/>
    <mergeCell ref="A19:A22"/>
    <mergeCell ref="B19:B22"/>
    <mergeCell ref="A23:A26"/>
    <mergeCell ref="B23:B26"/>
    <mergeCell ref="A27:A29"/>
    <mergeCell ref="B27:B29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2026-02-09T09:53:56Z</dcterms:modified>
</cp:coreProperties>
</file>