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3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6.xml" ContentType="application/vnd.openxmlformats-officedocument.spreadsheetml.revisionLog+xml"/>
  <Override PartName="/xl/revisions/revisionLog117.xml" ContentType="application/vnd.openxmlformats-officedocument.spreadsheetml.revisionLog+xml"/>
  <Override PartName="/xl/revisions/revisionLog21.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68.xml" ContentType="application/vnd.openxmlformats-officedocument.spreadsheetml.revisionLog+xml"/>
  <Override PartName="/xl/revisions/revisionLog84.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6.xml" ContentType="application/vnd.openxmlformats-officedocument.spreadsheetml.revisionLog+xml"/>
  <Override PartName="/xl/revisions/revisionLog107.xml" ContentType="application/vnd.openxmlformats-officedocument.spreadsheetml.revisionLog+xml"/>
  <Override PartName="/xl/revisions/revisionLog11.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53.xml" ContentType="application/vnd.openxmlformats-officedocument.spreadsheetml.revisionLog+xml"/>
  <Override PartName="/xl/revisions/revisionLog58.xml" ContentType="application/vnd.openxmlformats-officedocument.spreadsheetml.revisionLog+xml"/>
  <Override PartName="/xl/revisions/revisionLog74.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128.xml" ContentType="application/vnd.openxmlformats-officedocument.spreadsheetml.revisionLog+xml"/>
  <Override PartName="/xl/revisions/revisionLog5.xml" ContentType="application/vnd.openxmlformats-officedocument.spreadsheetml.revisionLog+xml"/>
  <Override PartName="/xl/revisions/revisionLog90.xml" ContentType="application/vnd.openxmlformats-officedocument.spreadsheetml.revisionLog+xml"/>
  <Override PartName="/xl/revisions/revisionLog95.xml" ContentType="application/vnd.openxmlformats-officedocument.spreadsheetml.revisionLog+xml"/>
  <Override PartName="/xl/revisions/revisionLog1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56.xml" ContentType="application/vnd.openxmlformats-officedocument.spreadsheetml.revisionLog+xml"/>
  <Override PartName="/xl/revisions/revisionLog64.xml" ContentType="application/vnd.openxmlformats-officedocument.spreadsheetml.revisionLog+xml"/>
  <Override PartName="/xl/revisions/revisionLog69.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13.xml" ContentType="application/vnd.openxmlformats-officedocument.spreadsheetml.revisionLog+xml"/>
  <Override PartName="/xl/revisions/revisionLog118.xml" ContentType="application/vnd.openxmlformats-officedocument.spreadsheetml.revisionLog+xml"/>
  <Override PartName="/xl/revisions/revisionLog126.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80.xml" ContentType="application/vnd.openxmlformats-officedocument.spreadsheetml.revisionLog+xml"/>
  <Override PartName="/xl/revisions/revisionLog85.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59.xml" ContentType="application/vnd.openxmlformats-officedocument.spreadsheetml.revisionLog+xml"/>
  <Override PartName="/xl/revisions/revisionLog67.xml" ContentType="application/vnd.openxmlformats-officedocument.spreadsheetml.revisionLog+xml"/>
  <Override PartName="/xl/revisions/revisionLog103.xml" ContentType="application/vnd.openxmlformats-officedocument.spreadsheetml.revisionLog+xml"/>
  <Override PartName="/xl/revisions/revisionLog108.xml" ContentType="application/vnd.openxmlformats-officedocument.spreadsheetml.revisionLog+xml"/>
  <Override PartName="/xl/revisions/revisionLog116.xml" ContentType="application/vnd.openxmlformats-officedocument.spreadsheetml.revisionLog+xml"/>
  <Override PartName="/xl/revisions/revisionLog124.xml" ContentType="application/vnd.openxmlformats-officedocument.spreadsheetml.revisionLog+xml"/>
  <Override PartName="/xl/revisions/revisionLog129.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70.xml" ContentType="application/vnd.openxmlformats-officedocument.spreadsheetml.revisionLog+xml"/>
  <Override PartName="/xl/revisions/revisionLog75.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91.xml" ContentType="application/vnd.openxmlformats-officedocument.spreadsheetml.revisionLog+xml"/>
  <Override PartName="/xl/revisions/revisionLog96.xml" ContentType="application/vnd.openxmlformats-officedocument.spreadsheetml.revisionLog+xml"/>
  <Override PartName="/xl/revisions/revisionLog11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14.xml" ContentType="application/vnd.openxmlformats-officedocument.spreadsheetml.revisionLog+xml"/>
  <Override PartName="/xl/revisions/revisionLog119.xml" ContentType="application/vnd.openxmlformats-officedocument.spreadsheetml.revisionLog+xml"/>
  <Override PartName="/xl/revisions/revisionLog127.xml" ContentType="application/vnd.openxmlformats-officedocument.spreadsheetml.revisionLog+xml"/>
  <Override PartName="/xl/revisions/revisionLog10.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60.xml" ContentType="application/vnd.openxmlformats-officedocument.spreadsheetml.revisionLog+xml"/>
  <Override PartName="/xl/revisions/revisionLog65.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81.xml" ContentType="application/vnd.openxmlformats-officedocument.spreadsheetml.revisionLog+xml"/>
  <Override PartName="/xl/revisions/revisionLog86.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3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9.xml" ContentType="application/vnd.openxmlformats-officedocument.spreadsheetml.revisionLog+xml"/>
  <Override PartName="/xl/revisions/revisionLog10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7.xml" ContentType="application/vnd.openxmlformats-officedocument.spreadsheetml.revisionLog+xml"/>
  <Override PartName="/xl/revisions/revisionLog71.xml" ContentType="application/vnd.openxmlformats-officedocument.spreadsheetml.revisionLog+xml"/>
  <Override PartName="/xl/revisions/revisionLog92.xml" ContentType="application/vnd.openxmlformats-officedocument.spreadsheetml.revisionLog+xml"/>
  <Override PartName="/xl/revisions/revisionLog2.xml" ContentType="application/vnd.openxmlformats-officedocument.spreadsheetml.revisionLog+xml"/>
  <Override PartName="/xl/revisions/revisionLog29.xml" ContentType="application/vnd.openxmlformats-officedocument.spreadsheetml.revisionLog+xml"/>
  <Override PartName="/xl/revisions/revisionLog24.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
    </mc:Choice>
  </mc:AlternateContent>
  <bookViews>
    <workbookView xWindow="0" yWindow="0" windowWidth="28800" windowHeight="10800" firstSheet="17" activeTab="17"/>
  </bookViews>
  <sheets>
    <sheet name="1. РО" sheetId="1" state="hidden" r:id="rId1"/>
    <sheet name="2. СОГХ" sheetId="2" state="hidden" r:id="rId2"/>
    <sheet name="3. ФКГС" sheetId="3" state="hidden" r:id="rId3"/>
    <sheet name="4. КП" sheetId="4" state="hidden" r:id="rId4"/>
    <sheet name="5.РФКиС" sheetId="5" state="hidden" r:id="rId5"/>
    <sheet name="6. СЗН" sheetId="6" state="hidden" r:id="rId6"/>
    <sheet name="7. АПК" sheetId="7" state="hidden" r:id="rId7"/>
    <sheet name="8. РЖС" sheetId="8" state="hidden" r:id="rId8"/>
    <sheet name="9. РЖКК" sheetId="9" state="hidden" r:id="rId9"/>
    <sheet name="10.ПП" sheetId="10" state="hidden" r:id="rId10"/>
    <sheet name="11. БЖД" sheetId="11" state="hidden" r:id="rId11"/>
    <sheet name="12. ЭБ" sheetId="12" state="hidden" r:id="rId12"/>
    <sheet name="13. Экон. разв." sheetId="13" state="hidden" r:id="rId13"/>
    <sheet name="14. РТС" sheetId="14" state="hidden" r:id="rId14"/>
    <sheet name="15. УМФ" sheetId="15" state="hidden" r:id="rId15"/>
    <sheet name="16. РГО" sheetId="16" state="hidden" r:id="rId16"/>
    <sheet name="17. УМИ" sheetId="17" state="hidden" r:id="rId17"/>
    <sheet name="18. Экстремизм" sheetId="18" r:id="rId18"/>
    <sheet name="19.РМС" sheetId="19" state="hidden" r:id="rId19"/>
    <sheet name="20. МСП" sheetId="20" state="hidden" r:id="rId20"/>
    <sheet name="Лист1" sheetId="21" r:id="rId21"/>
  </sheets>
  <externalReferences>
    <externalReference r:id="rId22"/>
  </externalReferences>
  <definedNames>
    <definedName name="Z_133BB3F8_8DD4_4AEF_8CD6_A5FB14681329_.wvu.PrintTitles" localSheetId="16" hidden="1">'17. УМИ'!$4:$7</definedName>
    <definedName name="Z_133BB3F8_8DD4_4AEF_8CD6_A5FB14681329_.wvu.Rows" localSheetId="0" hidden="1">'1. РО'!$28:$28,'1. РО'!$32:$32,'1. РО'!$52:$52,'1. РО'!$61:$61,'1. РО'!$73:$73,'1. РО'!$77:$77</definedName>
    <definedName name="Z_133BB3F8_8DD4_4AEF_8CD6_A5FB14681329_.wvu.Rows" localSheetId="13" hidden="1">'14. РТС'!$14:$15,'14. РТС'!$19:$19,'14. РТС'!$30:$30,'14. РТС'!$33:$33,'14. РТС'!$36:$36,'14. РТС'!$43:$43</definedName>
    <definedName name="Z_133BB3F8_8DD4_4AEF_8CD6_A5FB14681329_.wvu.Rows" localSheetId="19" hidden="1">'20. МСП'!$19:$19</definedName>
    <definedName name="Z_133BB3F8_8DD4_4AEF_8CD6_A5FB14681329_.wvu.Rows" localSheetId="3" hidden="1">'4. КП'!$23:$23,'4. КП'!$27:$27,'4. КП'!$68:$68,'4. КП'!$75:$75,'4. КП'!$83:$83,'4. КП'!$87:$88,'4. КП'!$91:$91,'4. КП'!$93:$93</definedName>
    <definedName name="Z_133BB3F8_8DD4_4AEF_8CD6_A5FB1468132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133BB3F8_8DD4_4AEF_8CD6_A5FB14681329_.wvu.Rows" localSheetId="5" hidden="1">'6. СЗН'!$9:$9,'6. СЗН'!$14:$14,'6. СЗН'!$18:$18,'6. СЗН'!$22:$22,'6. СЗН'!$26:$26,'6. СЗН'!$30:$31,'6. СЗН'!$34:$34,'6. СЗН'!$36:$36,'6. СЗН'!$39:$39,'6. СЗН'!$43:$43,'6. СЗН'!$47:$48</definedName>
    <definedName name="Z_133BB3F8_8DD4_4AEF_8CD6_A5FB14681329_.wvu.Rows" localSheetId="8" hidden="1">'9. РЖКК'!$14:$14,'9. РЖКК'!$28:$28</definedName>
    <definedName name="Z_20A05A62_CBE8_4538_BBC3_2AD9D3B8FAC0_.wvu.Rows" localSheetId="0" hidden="1">'1. РО'!$28:$28,'1. РО'!$32:$32,'1. РО'!$52:$52,'1. РО'!$61:$61,'1. РО'!$73:$73,'1. РО'!$77:$77</definedName>
    <definedName name="Z_20A05A62_CBE8_4538_BBC3_2AD9D3B8FAC0_.wvu.Rows" localSheetId="13" hidden="1">'14. РТС'!$14:$15,'14. РТС'!$19:$19,'14. РТС'!$30:$30,'14. РТС'!$33:$33,'14. РТС'!$36:$36,'14. РТС'!$43:$43</definedName>
    <definedName name="Z_20A05A62_CBE8_4538_BBC3_2AD9D3B8FAC0_.wvu.Rows" localSheetId="19" hidden="1">'20. МСП'!$19:$19</definedName>
    <definedName name="Z_20A05A62_CBE8_4538_BBC3_2AD9D3B8FAC0_.wvu.Rows" localSheetId="3" hidden="1">'4. КП'!$23:$23,'4. КП'!$27:$27,'4. КП'!$68:$68,'4. КП'!$75:$75,'4. КП'!$83:$83,'4. КП'!$87:$88,'4. КП'!$91:$91,'4. КП'!$93:$93</definedName>
    <definedName name="Z_20A05A62_CBE8_4538_BBC3_2AD9D3B8FAC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0A05A62_CBE8_4538_BBC3_2AD9D3B8FAC0_.wvu.Rows" localSheetId="5" hidden="1">'6. СЗН'!$9:$9,'6. СЗН'!$14:$14,'6. СЗН'!$18:$18,'6. СЗН'!$22:$22,'6. СЗН'!$26:$26,'6. СЗН'!$30:$31,'6. СЗН'!$34:$34,'6. СЗН'!$36:$36,'6. СЗН'!$39:$39,'6. СЗН'!$43:$43,'6. СЗН'!$45:$45,'6. СЗН'!$47:$48</definedName>
    <definedName name="Z_20A05A62_CBE8_4538_BBC3_2AD9D3B8FAC0_.wvu.Rows" localSheetId="8" hidden="1">'9. РЖКК'!$14:$14,'9. РЖКК'!$28:$28</definedName>
    <definedName name="Z_21E1D423_7B38_4272_8354_09B4DB62C9EB_.wvu.Rows" localSheetId="0" hidden="1">'1. РО'!$28:$28,'1. РО'!$32:$32,'1. РО'!$52:$52,'1. РО'!$61:$61,'1. РО'!$73:$73,'1. РО'!$77:$77</definedName>
    <definedName name="Z_21E1D423_7B38_4272_8354_09B4DB62C9EB_.wvu.Rows" localSheetId="13" hidden="1">'14. РТС'!$14:$15,'14. РТС'!$19:$19,'14. РТС'!$30:$30,'14. РТС'!$33:$33,'14. РТС'!$36:$36,'14. РТС'!$43:$43</definedName>
    <definedName name="Z_21E1D423_7B38_4272_8354_09B4DB62C9EB_.wvu.Rows" localSheetId="19" hidden="1">'20. МСП'!$19:$19</definedName>
    <definedName name="Z_21E1D423_7B38_4272_8354_09B4DB62C9EB_.wvu.Rows" localSheetId="3" hidden="1">'4. КП'!$23:$23,'4. КП'!$27:$27,'4. КП'!$68:$68,'4. КП'!$75:$75,'4. КП'!$83:$83,'4. КП'!$87:$88,'4. КП'!$91:$91,'4. КП'!$93:$93</definedName>
    <definedName name="Z_21E1D423_7B38_4272_8354_09B4DB62C9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1E1D423_7B38_4272_8354_09B4DB62C9EB_.wvu.Rows" localSheetId="5" hidden="1">'6. СЗН'!$9:$9,'6. СЗН'!$14:$14,'6. СЗН'!$18:$18,'6. СЗН'!$22:$22,'6. СЗН'!$26:$26,'6. СЗН'!$30:$31,'6. СЗН'!$34:$34,'6. СЗН'!$36:$36,'6. СЗН'!$39:$39,'6. СЗН'!$43:$43,'6. СЗН'!$45:$45,'6. СЗН'!$47:$48</definedName>
    <definedName name="Z_21E1D423_7B38_4272_8354_09B4DB62C9EB_.wvu.Rows" localSheetId="8" hidden="1">'9. РЖКК'!$14:$14,'9. РЖКК'!$28:$28</definedName>
    <definedName name="Z_2940A182_D1A7_43C5_8D6E_965BED4371B0_.wvu.Cols" localSheetId="3" hidden="1">'4. КП'!$F:$F</definedName>
    <definedName name="Z_2940A182_D1A7_43C5_8D6E_965BED4371B0_.wvu.Rows" localSheetId="0" hidden="1">'1. РО'!$28:$28,'1. РО'!$32:$32,'1. РО'!$52:$52,'1. РО'!$61:$61,'1. РО'!$73:$73,'1. РО'!$77:$77</definedName>
    <definedName name="Z_2940A182_D1A7_43C5_8D6E_965BED4371B0_.wvu.Rows" localSheetId="13" hidden="1">'14. РТС'!$14:$15,'14. РТС'!$19:$19,'14. РТС'!$30:$30,'14. РТС'!$33:$33,'14. РТС'!$36:$36,'14. РТС'!$43:$43</definedName>
    <definedName name="Z_2940A182_D1A7_43C5_8D6E_965BED4371B0_.wvu.Rows" localSheetId="19" hidden="1">'20. МСП'!$19:$19</definedName>
    <definedName name="Z_2940A182_D1A7_43C5_8D6E_965BED4371B0_.wvu.Rows" localSheetId="3" hidden="1">'4. КП'!$23:$23,'4. КП'!$27:$27,'4. КП'!$68:$68,'4. КП'!$83:$83,'4. КП'!$87:$88,'4. КП'!$91:$91,'4. КП'!$93:$93</definedName>
    <definedName name="Z_2940A182_D1A7_43C5_8D6E_965BED4371B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940A182_D1A7_43C5_8D6E_965BED4371B0_.wvu.Rows" localSheetId="5" hidden="1">'6. СЗН'!$9:$9,'6. СЗН'!$14:$14,'6. СЗН'!$18:$18,'6. СЗН'!$22:$22,'6. СЗН'!$26:$26,'6. СЗН'!$30:$31,'6. СЗН'!$34:$34,'6. СЗН'!$36:$36,'6. СЗН'!$39:$39,'6. СЗН'!$43:$43,'6. СЗН'!$45:$45,'6. СЗН'!$47:$48</definedName>
    <definedName name="Z_2940A182_D1A7_43C5_8D6E_965BED4371B0_.wvu.Rows" localSheetId="8" hidden="1">'9. РЖКК'!$14:$14,'9. РЖКК'!$28:$28</definedName>
    <definedName name="Z_2A5A11D4_90C6_4A3E_8165_7D7BD634B22F_.wvu.PrintTitles" localSheetId="16" hidden="1">'17. УМИ'!$4:$7</definedName>
    <definedName name="Z_2A5A11D4_90C6_4A3E_8165_7D7BD634B22F_.wvu.Rows" localSheetId="0" hidden="1">'1. РО'!$28:$28,'1. РО'!$32:$32,'1. РО'!$52:$52,'1. РО'!$61:$61,'1. РО'!$73:$73,'1. РО'!$77:$77</definedName>
    <definedName name="Z_2A5A11D4_90C6_4A3E_8165_7D7BD634B22F_.wvu.Rows" localSheetId="13" hidden="1">'14. РТС'!$14:$15,'14. РТС'!$19:$19,'14. РТС'!$30:$30,'14. РТС'!$33:$33,'14. РТС'!$36:$36,'14. РТС'!$43:$43</definedName>
    <definedName name="Z_2A5A11D4_90C6_4A3E_8165_7D7BD634B22F_.wvu.Rows" localSheetId="19" hidden="1">'20. МСП'!$19:$19</definedName>
    <definedName name="Z_2A5A11D4_90C6_4A3E_8165_7D7BD634B22F_.wvu.Rows" localSheetId="3" hidden="1">'4. КП'!$23:$23,'4. КП'!$27:$27,'4. КП'!$68:$68,'4. КП'!$75:$75,'4. КП'!$83:$83,'4. КП'!$87:$88,'4. КП'!$91:$91,'4. КП'!$93:$93</definedName>
    <definedName name="Z_2A5A11D4_90C6_4A3E_8165_7D7BD634B22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A5A11D4_90C6_4A3E_8165_7D7BD634B22F_.wvu.Rows" localSheetId="5" hidden="1">'6. СЗН'!$9:$9,'6. СЗН'!$14:$14,'6. СЗН'!$18:$18,'6. СЗН'!$22:$22,'6. СЗН'!$26:$26,'6. СЗН'!$30:$31,'6. СЗН'!$34:$34,'6. СЗН'!$36:$36,'6. СЗН'!$39:$39,'6. СЗН'!$43:$43,'6. СЗН'!$45:$45,'6. СЗН'!$47:$48</definedName>
    <definedName name="Z_2A5A11D4_90C6_4A3E_8165_7D7BD634B22F_.wvu.Rows" localSheetId="8" hidden="1">'9. РЖКК'!$14:$14,'9. РЖКК'!$28:$28</definedName>
    <definedName name="Z_30B635D9_57DB_47D5_8A0F_4B30DD769960_.wvu.Rows" localSheetId="0" hidden="1">'1. РО'!$28:$28,'1. РО'!$32:$32,'1. РО'!$52:$52,'1. РО'!$61:$61,'1. РО'!$73:$73,'1. РО'!$77:$77</definedName>
    <definedName name="Z_30B635D9_57DB_47D5_8A0F_4B30DD769960_.wvu.Rows" localSheetId="13" hidden="1">'14. РТС'!$14:$15,'14. РТС'!$19:$19,'14. РТС'!$30:$30,'14. РТС'!$33:$33,'14. РТС'!$36:$36,'14. РТС'!$43:$43</definedName>
    <definedName name="Z_30B635D9_57DB_47D5_8A0F_4B30DD769960_.wvu.Rows" localSheetId="19" hidden="1">'20. МСП'!$19:$19</definedName>
    <definedName name="Z_30B635D9_57DB_47D5_8A0F_4B30DD769960_.wvu.Rows" localSheetId="3" hidden="1">'4. КП'!$23:$23,'4. КП'!$27:$27,'4. КП'!$68:$68,'4. КП'!$75:$75,'4. КП'!$83:$83,'4. КП'!$87:$88,'4. КП'!$91:$91,'4. КП'!$93:$93</definedName>
    <definedName name="Z_30B635D9_57DB_47D5_8A0F_4B30DD76996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30B635D9_57DB_47D5_8A0F_4B30DD769960_.wvu.Rows" localSheetId="5" hidden="1">'6. СЗН'!$9:$9,'6. СЗН'!$14:$14,'6. СЗН'!$18:$18,'6. СЗН'!$22:$22,'6. СЗН'!$26:$26,'6. СЗН'!$30:$31,'6. СЗН'!$34:$34,'6. СЗН'!$36:$36,'6. СЗН'!$39:$39,'6. СЗН'!$43:$43,'6. СЗН'!$45:$45,'6. СЗН'!$47:$48</definedName>
    <definedName name="Z_30B635D9_57DB_47D5_8A0F_4B30DD769960_.wvu.Rows" localSheetId="8" hidden="1">'9. РЖКК'!$14:$14,'9. РЖКК'!$17:$20,'9. РЖКК'!$28:$28</definedName>
    <definedName name="Z_4E221C17_6DAB_4FFA_B18C_35D4D85AF6E8_.wvu.Rows" localSheetId="0" hidden="1">'1. РО'!$28:$28,'1. РО'!$32:$32,'1. РО'!$52:$52,'1. РО'!$61:$61,'1. РО'!$73:$73,'1. РО'!$77:$77</definedName>
    <definedName name="Z_4E221C17_6DAB_4FFA_B18C_35D4D85AF6E8_.wvu.Rows" localSheetId="13" hidden="1">'14. РТС'!$14:$15,'14. РТС'!$19:$19,'14. РТС'!$30:$30,'14. РТС'!$33:$33,'14. РТС'!$36:$36,'14. РТС'!$43:$43</definedName>
    <definedName name="Z_4E221C17_6DAB_4FFA_B18C_35D4D85AF6E8_.wvu.Rows" localSheetId="19" hidden="1">'20. МСП'!$19:$19</definedName>
    <definedName name="Z_4E221C17_6DAB_4FFA_B18C_35D4D85AF6E8_.wvu.Rows" localSheetId="3" hidden="1">'4. КП'!$23:$23,'4. КП'!$27:$27,'4. КП'!$68:$68,'4. КП'!$75:$75,'4. КП'!$83:$83,'4. КП'!$87:$88,'4. КП'!$91:$91,'4. КП'!$93:$93</definedName>
    <definedName name="Z_4E221C17_6DAB_4FFA_B18C_35D4D85AF6E8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4E221C17_6DAB_4FFA_B18C_35D4D85AF6E8_.wvu.Rows" localSheetId="5" hidden="1">'6. СЗН'!$9:$9,'6. СЗН'!$14:$14,'6. СЗН'!$18:$18,'6. СЗН'!$22:$22,'6. СЗН'!$26:$26,'6. СЗН'!$30:$31,'6. СЗН'!$34:$34,'6. СЗН'!$36:$36,'6. СЗН'!$39:$39,'6. СЗН'!$43:$43,'6. СЗН'!$45:$45,'6. СЗН'!$47:$48</definedName>
    <definedName name="Z_4E221C17_6DAB_4FFA_B18C_35D4D85AF6E8_.wvu.Rows" localSheetId="8" hidden="1">'9. РЖКК'!$14:$14,'9. РЖКК'!$28:$28</definedName>
    <definedName name="Z_519948E4_0B24_465F_9D9E_44BE50D1D647_.wvu.Rows" localSheetId="0" hidden="1">'1. РО'!$28:$28,'1. РО'!$32:$32,'1. РО'!$52:$52,'1. РО'!$61:$61,'1. РО'!$73:$73,'1. РО'!$77:$77</definedName>
    <definedName name="Z_519948E4_0B24_465F_9D9E_44BE50D1D647_.wvu.Rows" localSheetId="13" hidden="1">'14. РТС'!$14:$15,'14. РТС'!$19:$19,'14. РТС'!$30:$30,'14. РТС'!$33:$33,'14. РТС'!$36:$36,'14. РТС'!$43:$43</definedName>
    <definedName name="Z_519948E4_0B24_465F_9D9E_44BE50D1D647_.wvu.Rows" localSheetId="19" hidden="1">'20. МСП'!$19:$19</definedName>
    <definedName name="Z_519948E4_0B24_465F_9D9E_44BE50D1D647_.wvu.Rows" localSheetId="3" hidden="1">'4. КП'!$23:$23,'4. КП'!$27:$27,'4. КП'!$68:$68,'4. КП'!$75:$75,'4. КП'!$83:$83,'4. КП'!$87:$88,'4. КП'!$91:$91,'4. КП'!$93:$93</definedName>
    <definedName name="Z_519948E4_0B24_465F_9D9E_44BE50D1D64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19948E4_0B24_465F_9D9E_44BE50D1D647_.wvu.Rows" localSheetId="5" hidden="1">'6. СЗН'!$9:$9,'6. СЗН'!$14:$14,'6. СЗН'!$18:$18,'6. СЗН'!$22:$22,'6. СЗН'!$26:$26,'6. СЗН'!$30:$31,'6. СЗН'!$34:$34,'6. СЗН'!$36:$36,'6. СЗН'!$39:$39,'6. СЗН'!$43:$43,'6. СЗН'!$45:$45,'6. СЗН'!$47:$48</definedName>
    <definedName name="Z_519948E4_0B24_465F_9D9E_44BE50D1D647_.wvu.Rows" localSheetId="8" hidden="1">'9. РЖКК'!$14:$14,'9. РЖКК'!$28:$28</definedName>
    <definedName name="Z_562453CE_35F5_40A3_AD14_6399D1197C99_.wvu.Rows" localSheetId="0" hidden="1">'1. РО'!$28:$28,'1. РО'!$32:$32,'1. РО'!$52:$52,'1. РО'!$61:$61,'1. РО'!$73:$73,'1. РО'!$77:$77</definedName>
    <definedName name="Z_562453CE_35F5_40A3_AD14_6399D1197C99_.wvu.Rows" localSheetId="13" hidden="1">'14. РТС'!$14:$15,'14. РТС'!$19:$19,'14. РТС'!$30:$30,'14. РТС'!$33:$33,'14. РТС'!$36:$36,'14. РТС'!$43:$43</definedName>
    <definedName name="Z_562453CE_35F5_40A3_AD14_6399D1197C99_.wvu.Rows" localSheetId="19" hidden="1">'20. МСП'!$19:$19</definedName>
    <definedName name="Z_562453CE_35F5_40A3_AD14_6399D1197C99_.wvu.Rows" localSheetId="3" hidden="1">'4. КП'!$23:$23,'4. КП'!$27:$27,'4. КП'!$68:$68,'4. КП'!$75:$75,'4. КП'!$83:$83,'4. КП'!$87:$88,'4. КП'!$91:$91,'4. КП'!$93:$93</definedName>
    <definedName name="Z_562453CE_35F5_40A3_AD14_6399D1197C9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62453CE_35F5_40A3_AD14_6399D1197C99_.wvu.Rows" localSheetId="5" hidden="1">'6. СЗН'!$9:$9,'6. СЗН'!$14:$14,'6. СЗН'!$18:$18,'6. СЗН'!$22:$22,'6. СЗН'!$26:$26,'6. СЗН'!$30:$31,'6. СЗН'!$34:$34,'6. СЗН'!$36:$36,'6. СЗН'!$39:$39,'6. СЗН'!$43:$43,'6. СЗН'!$45:$45,'6. СЗН'!$47:$48</definedName>
    <definedName name="Z_562453CE_35F5_40A3_AD14_6399D1197C99_.wvu.Rows" localSheetId="8" hidden="1">'9. РЖКК'!$14:$14,'9. РЖКК'!$28:$28</definedName>
    <definedName name="Z_5DF2C78B_5EE4_439D_8D72_8D3A913B65F9_.wvu.PrintTitles" localSheetId="16" hidden="1">'17. УМИ'!$4:$7</definedName>
    <definedName name="Z_5DF2C78B_5EE4_439D_8D72_8D3A913B65F9_.wvu.Rows" localSheetId="0" hidden="1">'1. РО'!$28:$28,'1. РО'!$32:$32,'1. РО'!$52:$52,'1. РО'!$61:$61,'1. РО'!$73:$73,'1. РО'!$77:$77</definedName>
    <definedName name="Z_5DF2C78B_5EE4_439D_8D72_8D3A913B65F9_.wvu.Rows" localSheetId="13" hidden="1">'14. РТС'!$14:$15,'14. РТС'!$19:$19,'14. РТС'!$30:$30,'14. РТС'!$33:$33,'14. РТС'!$36:$36,'14. РТС'!$43:$43</definedName>
    <definedName name="Z_5DF2C78B_5EE4_439D_8D72_8D3A913B65F9_.wvu.Rows" localSheetId="19" hidden="1">'20. МСП'!$19:$19</definedName>
    <definedName name="Z_5DF2C78B_5EE4_439D_8D72_8D3A913B65F9_.wvu.Rows" localSheetId="3" hidden="1">'4. КП'!$23:$23,'4. КП'!$27:$27,'4. КП'!$68:$68,'4. КП'!$75:$75,'4. КП'!$83:$83,'4. КП'!$87:$88,'4. КП'!$91:$91,'4. КП'!$93:$93</definedName>
    <definedName name="Z_5DF2C78B_5EE4_439D_8D72_8D3A913B65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DF2C78B_5EE4_439D_8D72_8D3A913B65F9_.wvu.Rows" localSheetId="5" hidden="1">'6. СЗН'!$9:$9,'6. СЗН'!$14:$14,'6. СЗН'!$18:$18,'6. СЗН'!$22:$22,'6. СЗН'!$26:$26,'6. СЗН'!$30:$31,'6. СЗН'!$34:$34,'6. СЗН'!$36:$36,'6. СЗН'!$39:$39,'6. СЗН'!$43:$43,'6. СЗН'!$45:$45,'6. СЗН'!$47:$48</definedName>
    <definedName name="Z_5DF2C78B_5EE4_439D_8D72_8D3A913B65F9_.wvu.Rows" localSheetId="8" hidden="1">'9. РЖКК'!$14:$14,'9. РЖКК'!$28:$28</definedName>
    <definedName name="Z_60A1F930_4BEC_460A_8E14_01E47F6DD055_.wvu.PrintTitles" localSheetId="16" hidden="1">'17. УМИ'!$4:$7</definedName>
    <definedName name="Z_60A1F930_4BEC_460A_8E14_01E47F6DD055_.wvu.Rows" localSheetId="0" hidden="1">'1. РО'!$28:$28,'1. РО'!$32:$32,'1. РО'!$52:$52,'1. РО'!$61:$61,'1. РО'!$73:$73,'1. РО'!$77:$77</definedName>
    <definedName name="Z_60A1F930_4BEC_460A_8E14_01E47F6DD055_.wvu.Rows" localSheetId="13" hidden="1">'14. РТС'!$14:$15,'14. РТС'!$19:$19,'14. РТС'!$30:$30,'14. РТС'!$33:$33,'14. РТС'!$36:$36,'14. РТС'!$43:$43</definedName>
    <definedName name="Z_60A1F930_4BEC_460A_8E14_01E47F6DD055_.wvu.Rows" localSheetId="19" hidden="1">'20. МСП'!$19:$19</definedName>
    <definedName name="Z_60A1F930_4BEC_460A_8E14_01E47F6DD055_.wvu.Rows" localSheetId="3" hidden="1">'4. КП'!$23:$23,'4. КП'!$27:$27,'4. КП'!$68:$68,'4. КП'!$75:$75,'4. КП'!$83:$83,'4. КП'!$87:$88,'4. КП'!$91:$91,'4. КП'!$93:$93</definedName>
    <definedName name="Z_60A1F930_4BEC_460A_8E14_01E47F6DD055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60A1F930_4BEC_460A_8E14_01E47F6DD055_.wvu.Rows" localSheetId="5" hidden="1">'6. СЗН'!$9:$9,'6. СЗН'!$14:$14,'6. СЗН'!$18:$18,'6. СЗН'!$22:$22,'6. СЗН'!$26:$26,'6. СЗН'!$30:$31,'6. СЗН'!$34:$34,'6. СЗН'!$36:$36,'6. СЗН'!$39:$39,'6. СЗН'!$43:$43,'6. СЗН'!$45:$45,'6. СЗН'!$47:$48</definedName>
    <definedName name="Z_60A1F930_4BEC_460A_8E14_01E47F6DD055_.wvu.Rows" localSheetId="8" hidden="1">'9. РЖКК'!$14:$14,'9. РЖКК'!$28:$28</definedName>
    <definedName name="Z_7C5A2A36_3D69_43D9_9018_A52C27EC78F9_.wvu.PrintTitles" localSheetId="16" hidden="1">'17. УМИ'!$4:$7</definedName>
    <definedName name="Z_7C5A2A36_3D69_43D9_9018_A52C27EC78F9_.wvu.Rows" localSheetId="0" hidden="1">'1. РО'!$28:$28,'1. РО'!$32:$32,'1. РО'!$52:$52,'1. РО'!$61:$61,'1. РО'!$73:$73,'1. РО'!$77:$77</definedName>
    <definedName name="Z_7C5A2A36_3D69_43D9_9018_A52C27EC78F9_.wvu.Rows" localSheetId="13" hidden="1">'14. РТС'!$14:$15,'14. РТС'!$19:$19,'14. РТС'!$30:$30,'14. РТС'!$33:$33,'14. РТС'!$36:$36,'14. РТС'!$43:$43</definedName>
    <definedName name="Z_7C5A2A36_3D69_43D9_9018_A52C27EC78F9_.wvu.Rows" localSheetId="19" hidden="1">'20. МСП'!$19:$19</definedName>
    <definedName name="Z_7C5A2A36_3D69_43D9_9018_A52C27EC78F9_.wvu.Rows" localSheetId="3" hidden="1">'4. КП'!$23:$23,'4. КП'!$27:$27,'4. КП'!$68:$68,'4. КП'!$75:$75,'4. КП'!$83:$83,'4. КП'!$87:$88,'4. КП'!$91:$91,'4. КП'!$93:$93</definedName>
    <definedName name="Z_7C5A2A36_3D69_43D9_9018_A52C27EC78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7C5A2A36_3D69_43D9_9018_A52C27EC78F9_.wvu.Rows" localSheetId="5" hidden="1">'6. СЗН'!$9:$9,'6. СЗН'!$14:$14,'6. СЗН'!$18:$18,'6. СЗН'!$22:$22,'6. СЗН'!$26:$26,'6. СЗН'!$30:$31,'6. СЗН'!$34:$34,'6. СЗН'!$36:$36,'6. СЗН'!$39:$39,'6. СЗН'!$43:$43,'6. СЗН'!$45:$45,'6. СЗН'!$47:$48</definedName>
    <definedName name="Z_7C5A2A36_3D69_43D9_9018_A52C27EC78F9_.wvu.Rows" localSheetId="8" hidden="1">'9. РЖКК'!$14:$14,'9. РЖКК'!$28:$28</definedName>
    <definedName name="Z_996EC2F0_F6EC_4E63_A83E_34865157BD8D_.wvu.PrintTitles" localSheetId="16" hidden="1">'17. УМИ'!$4:$7</definedName>
    <definedName name="Z_996EC2F0_F6EC_4E63_A83E_34865157BD8D_.wvu.Rows" localSheetId="0" hidden="1">'1. РО'!$28:$28,'1. РО'!$32:$32,'1. РО'!$52:$52,'1. РО'!$73:$73,'1. РО'!$77:$77</definedName>
    <definedName name="Z_996EC2F0_F6EC_4E63_A83E_34865157BD8D_.wvu.Rows" localSheetId="13" hidden="1">'14. РТС'!$14:$15,'14. РТС'!$19:$19,'14. РТС'!$30:$30,'14. РТС'!$33:$33,'14. РТС'!$36:$36,'14. РТС'!$43:$43</definedName>
    <definedName name="Z_996EC2F0_F6EC_4E63_A83E_34865157BD8D_.wvu.Rows" localSheetId="19" hidden="1">'20. МСП'!$19:$19</definedName>
    <definedName name="Z_996EC2F0_F6EC_4E63_A83E_34865157BD8D_.wvu.Rows" localSheetId="3" hidden="1">'4. КП'!$23:$23,'4. КП'!$27:$27,'4. КП'!$68:$68,'4. КП'!$75:$75,'4. КП'!$83:$83,'4. КП'!$87:$88,'4. КП'!$91:$91,'4. КП'!$93:$93</definedName>
    <definedName name="Z_996EC2F0_F6EC_4E63_A83E_34865157BD8D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996EC2F0_F6EC_4E63_A83E_34865157BD8D_.wvu.Rows" localSheetId="5" hidden="1">'6. СЗН'!$9:$9,'6. СЗН'!$14:$14,'6. СЗН'!$18:$18,'6. СЗН'!$22:$22,'6. СЗН'!$26:$26,'6. СЗН'!$30:$31,'6. СЗН'!$34:$34,'6. СЗН'!$36:$36,'6. СЗН'!$39:$39,'6. СЗН'!$43:$43,'6. СЗН'!$45:$45,'6. СЗН'!$47:$48</definedName>
    <definedName name="Z_996EC2F0_F6EC_4E63_A83E_34865157BD8D_.wvu.Rows" localSheetId="8" hidden="1">'9. РЖКК'!$14:$14,'9. РЖКК'!$28:$28</definedName>
    <definedName name="Z_A0E2FBF6_E560_4343_8BE6_217DC798135B_.wvu.Rows" localSheetId="0" hidden="1">'1. РО'!$28:$28,'1. РО'!$32:$32,'1. РО'!$52:$52,'1. РО'!$61:$61,'1. РО'!$73:$73,'1. РО'!$77:$77</definedName>
    <definedName name="Z_A0E2FBF6_E560_4343_8BE6_217DC798135B_.wvu.Rows" localSheetId="13" hidden="1">'14. РТС'!$14:$15,'14. РТС'!$19:$19,'14. РТС'!$30:$30,'14. РТС'!$33:$33,'14. РТС'!$36:$36,'14. РТС'!$43:$43</definedName>
    <definedName name="Z_A0E2FBF6_E560_4343_8BE6_217DC798135B_.wvu.Rows" localSheetId="19" hidden="1">'20. МСП'!$19:$19</definedName>
    <definedName name="Z_A0E2FBF6_E560_4343_8BE6_217DC798135B_.wvu.Rows" localSheetId="3" hidden="1">'4. КП'!$23:$23,'4. КП'!$27:$27,'4. КП'!$68:$68,'4. КП'!$75:$75,'4. КП'!$83:$83,'4. КП'!$87:$88,'4. КП'!$91:$91,'4. КП'!$93:$93</definedName>
    <definedName name="Z_A0E2FBF6_E560_4343_8BE6_217DC798135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0E2FBF6_E560_4343_8BE6_217DC798135B_.wvu.Rows" localSheetId="5" hidden="1">'6. СЗН'!$9:$9,'6. СЗН'!$14:$14,'6. СЗН'!$18:$18,'6. СЗН'!$22:$22,'6. СЗН'!$26:$26,'6. СЗН'!$30:$31,'6. СЗН'!$34:$34,'6. СЗН'!$36:$36,'6. СЗН'!$39:$39,'6. СЗН'!$43:$43,'6. СЗН'!$47:$48</definedName>
    <definedName name="Z_A0E2FBF6_E560_4343_8BE6_217DC798135B_.wvu.Rows" localSheetId="8" hidden="1">'9. РЖКК'!$14:$14,'9. РЖКК'!$28:$28</definedName>
    <definedName name="Z_A4AF2100_C59D_4F60_9EAB_56D9103463F7_.wvu.PrintTitles" localSheetId="16" hidden="1">'17. УМИ'!$4:$7</definedName>
    <definedName name="Z_A4AF2100_C59D_4F60_9EAB_56D9103463F7_.wvu.Rows" localSheetId="0" hidden="1">'1. РО'!$28:$28,'1. РО'!$32:$32,'1. РО'!$52:$52,'1. РО'!$61:$61,'1. РО'!$73:$73,'1. РО'!$77:$77</definedName>
    <definedName name="Z_A4AF2100_C59D_4F60_9EAB_56D9103463F7_.wvu.Rows" localSheetId="13" hidden="1">'14. РТС'!$14:$15,'14. РТС'!$19:$19,'14. РТС'!$30:$30,'14. РТС'!$33:$33,'14. РТС'!$36:$36,'14. РТС'!$43:$43</definedName>
    <definedName name="Z_A4AF2100_C59D_4F60_9EAB_56D9103463F7_.wvu.Rows" localSheetId="19" hidden="1">'20. МСП'!$19:$19</definedName>
    <definedName name="Z_A4AF2100_C59D_4F60_9EAB_56D9103463F7_.wvu.Rows" localSheetId="3" hidden="1">'4. КП'!$23:$23,'4. КП'!$27:$27,'4. КП'!$68:$68,'4. КП'!$75:$75,'4. КП'!$83:$83,'4. КП'!$87:$88,'4. КП'!$91:$91,'4. КП'!$93:$93</definedName>
    <definedName name="Z_A4AF2100_C59D_4F60_9EAB_56D9103463F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4AF2100_C59D_4F60_9EAB_56D9103463F7_.wvu.Rows" localSheetId="5" hidden="1">'6. СЗН'!$9:$9,'6. СЗН'!$14:$14,'6. СЗН'!$18:$18,'6. СЗН'!$22:$22,'6. СЗН'!$26:$26,'6. СЗН'!$30:$31,'6. СЗН'!$34:$34,'6. СЗН'!$36:$36,'6. СЗН'!$39:$39,'6. СЗН'!$43:$43,'6. СЗН'!$45:$45,'6. СЗН'!$47:$48</definedName>
    <definedName name="Z_A4AF2100_C59D_4F60_9EAB_56D9103463F7_.wvu.Rows" localSheetId="8" hidden="1">'9. РЖКК'!$14:$14,'9. РЖКК'!$28:$28</definedName>
    <definedName name="Z_A7640BE7_6438_4196_9A67_AF5B992A1E70_.wvu.Rows" localSheetId="0" hidden="1">'1. РО'!$28:$28,'1. РО'!$32:$32,'1. РО'!$52:$52,'1. РО'!$61:$61,'1. РО'!$73:$73,'1. РО'!$77:$77</definedName>
    <definedName name="Z_A7640BE7_6438_4196_9A67_AF5B992A1E70_.wvu.Rows" localSheetId="13" hidden="1">'14. РТС'!$14:$15,'14. РТС'!$19:$19,'14. РТС'!$30:$30,'14. РТС'!$33:$33,'14. РТС'!$36:$36,'14. РТС'!$43:$43</definedName>
    <definedName name="Z_A7640BE7_6438_4196_9A67_AF5B992A1E70_.wvu.Rows" localSheetId="19" hidden="1">'20. МСП'!$19:$19</definedName>
    <definedName name="Z_A7640BE7_6438_4196_9A67_AF5B992A1E70_.wvu.Rows" localSheetId="3" hidden="1">'4. КП'!$23:$23,'4. КП'!$27:$27,'4. КП'!$68:$68,'4. КП'!$75:$75,'4. КП'!$83:$83,'4. КП'!$87:$88,'4. КП'!$91:$91,'4. КП'!$93:$93</definedName>
    <definedName name="Z_A7640BE7_6438_4196_9A67_AF5B992A1E7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7640BE7_6438_4196_9A67_AF5B992A1E70_.wvu.Rows" localSheetId="5" hidden="1">'6. СЗН'!$9:$9,'6. СЗН'!$14:$14,'6. СЗН'!$18:$18,'6. СЗН'!$22:$22,'6. СЗН'!$26:$26,'6. СЗН'!$30:$31,'6. СЗН'!$34:$34,'6. СЗН'!$36:$36,'6. СЗН'!$39:$39,'6. СЗН'!$43:$43,'6. СЗН'!$45:$45,'6. СЗН'!$47:$48</definedName>
    <definedName name="Z_A7640BE7_6438_4196_9A67_AF5B992A1E70_.wvu.Rows" localSheetId="8" hidden="1">'9. РЖКК'!$14:$14,'9. РЖКК'!$28:$28</definedName>
    <definedName name="Z_AB9978E4_895D_4050_8F07_2484E22632D1_.wvu.PrintTitles" localSheetId="16" hidden="1">'17. УМИ'!$4:$7</definedName>
    <definedName name="Z_AB9978E4_895D_4050_8F07_2484E22632D1_.wvu.Rows" localSheetId="0" hidden="1">'1. РО'!$28:$28,'1. РО'!$32:$32,'1. РО'!$52:$52,'1. РО'!$61:$61,'1. РО'!$73:$73,'1. РО'!$77:$77</definedName>
    <definedName name="Z_AB9978E4_895D_4050_8F07_2484E22632D1_.wvu.Rows" localSheetId="13" hidden="1">'14. РТС'!$14:$15,'14. РТС'!$19:$19,'14. РТС'!$30:$30,'14. РТС'!$33:$33,'14. РТС'!$36:$36,'14. РТС'!$43:$43</definedName>
    <definedName name="Z_AB9978E4_895D_4050_8F07_2484E22632D1_.wvu.Rows" localSheetId="19" hidden="1">'20. МСП'!$19:$19</definedName>
    <definedName name="Z_AB9978E4_895D_4050_8F07_2484E22632D1_.wvu.Rows" localSheetId="3" hidden="1">'4. КП'!$23:$23,'4. КП'!$27:$27,'4. КП'!$68:$68,'4. КП'!$75:$75,'4. КП'!$83:$83,'4. КП'!$87:$88,'4. КП'!$91:$91,'4. КП'!$93:$93</definedName>
    <definedName name="Z_AB9978E4_895D_4050_8F07_2484E22632D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B9978E4_895D_4050_8F07_2484E22632D1_.wvu.Rows" localSheetId="5" hidden="1">'6. СЗН'!$9:$9,'6. СЗН'!$14:$14,'6. СЗН'!$18:$18,'6. СЗН'!$22:$22,'6. СЗН'!$26:$26,'6. СЗН'!$30:$31,'6. СЗН'!$34:$34,'6. СЗН'!$36:$36,'6. СЗН'!$39:$39,'6. СЗН'!$43:$43,'6. СЗН'!$45:$45,'6. СЗН'!$47:$48</definedName>
    <definedName name="Z_AB9978E4_895D_4050_8F07_2484E22632D1_.wvu.Rows" localSheetId="8" hidden="1">'9. РЖКК'!$14:$14,'9. РЖКК'!$28:$28</definedName>
    <definedName name="Z_AFADB96A_0516_43C1_9F1B_0604F3CAC04A_.wvu.PrintTitles" localSheetId="16" hidden="1">'17. УМИ'!$4:$7</definedName>
    <definedName name="Z_AFADB96A_0516_43C1_9F1B_0604F3CAC04A_.wvu.Rows" localSheetId="0" hidden="1">'1. РО'!$28:$28,'1. РО'!$32:$32,'1. РО'!$52:$52,'1. РО'!$61:$61,'1. РО'!$73:$73,'1. РО'!$77:$77</definedName>
    <definedName name="Z_AFADB96A_0516_43C1_9F1B_0604F3CAC04A_.wvu.Rows" localSheetId="13" hidden="1">'14. РТС'!$14:$15,'14. РТС'!$19:$19,'14. РТС'!$30:$30,'14. РТС'!$33:$33,'14. РТС'!$36:$36,'14. РТС'!$43:$43</definedName>
    <definedName name="Z_AFADB96A_0516_43C1_9F1B_0604F3CAC04A_.wvu.Rows" localSheetId="19" hidden="1">'20. МСП'!$19:$19</definedName>
    <definedName name="Z_AFADB96A_0516_43C1_9F1B_0604F3CAC04A_.wvu.Rows" localSheetId="3" hidden="1">'4. КП'!$23:$23,'4. КП'!$27:$27,'4. КП'!$68:$68,'4. КП'!$75:$75,'4. КП'!$83:$83,'4. КП'!$87:$88,'4. КП'!$91:$91,'4. КП'!$93:$93</definedName>
    <definedName name="Z_AFADB96A_0516_43C1_9F1B_0604F3CAC04A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FADB96A_0516_43C1_9F1B_0604F3CAC04A_.wvu.Rows" localSheetId="5" hidden="1">'6. СЗН'!$9:$9,'6. СЗН'!$14:$14,'6. СЗН'!$18:$18,'6. СЗН'!$22:$22,'6. СЗН'!$26:$26,'6. СЗН'!$30:$31,'6. СЗН'!$34:$34,'6. СЗН'!$36:$36,'6. СЗН'!$39:$39,'6. СЗН'!$43:$43,'6. СЗН'!$45:$45,'6. СЗН'!$47:$48</definedName>
    <definedName name="Z_AFADB96A_0516_43C1_9F1B_0604F3CAC04A_.wvu.Rows" localSheetId="8" hidden="1">'9. РЖКК'!$14:$14,'9. РЖКК'!$28:$28</definedName>
    <definedName name="Z_B686A221_D885_4536_BEAC_E7F4BBC02150_.wvu.PrintTitles" localSheetId="16" hidden="1">'17. УМИ'!$4:$7</definedName>
    <definedName name="Z_B686A221_D885_4536_BEAC_E7F4BBC02150_.wvu.Rows" localSheetId="0" hidden="1">'1. РО'!$28:$28,'1. РО'!$32:$32,'1. РО'!$52:$52,'1. РО'!$61:$61,'1. РО'!$73:$73,'1. РО'!$77:$77</definedName>
    <definedName name="Z_B686A221_D885_4536_BEAC_E7F4BBC02150_.wvu.Rows" localSheetId="13" hidden="1">'14. РТС'!$14:$15,'14. РТС'!$19:$19,'14. РТС'!$30:$30,'14. РТС'!$33:$33,'14. РТС'!$36:$36,'14. РТС'!$43:$43</definedName>
    <definedName name="Z_B686A221_D885_4536_BEAC_E7F4BBC02150_.wvu.Rows" localSheetId="19" hidden="1">'20. МСП'!$19:$19</definedName>
    <definedName name="Z_B686A221_D885_4536_BEAC_E7F4BBC02150_.wvu.Rows" localSheetId="3" hidden="1">'4. КП'!$23:$23,'4. КП'!$27:$27,'4. КП'!$68:$68,'4. КП'!$75:$75,'4. КП'!$83:$83,'4. КП'!$87:$88,'4. КП'!$91:$91,'4. КП'!$93:$93</definedName>
    <definedName name="Z_B686A221_D885_4536_BEAC_E7F4BBC0215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86A221_D885_4536_BEAC_E7F4BBC02150_.wvu.Rows" localSheetId="5" hidden="1">'6. СЗН'!$9:$9,'6. СЗН'!$14:$14,'6. СЗН'!$18:$18,'6. СЗН'!$22:$22,'6. СЗН'!$26:$26,'6. СЗН'!$30:$31,'6. СЗН'!$34:$34,'6. СЗН'!$36:$36,'6. СЗН'!$39:$39,'6. СЗН'!$43:$43,'6. СЗН'!$45:$45,'6. СЗН'!$47:$48</definedName>
    <definedName name="Z_B686A221_D885_4536_BEAC_E7F4BBC02150_.wvu.Rows" localSheetId="8" hidden="1">'9. РЖКК'!$14:$14,'9. РЖКК'!$28:$28</definedName>
    <definedName name="Z_B6B60ED6_A6CC_4DA7_A8CA_5E6DB52D5A87_.wvu.PrintTitles" localSheetId="16" hidden="1">'17. УМИ'!$4:$7</definedName>
    <definedName name="Z_B6B60ED6_A6CC_4DA7_A8CA_5E6DB52D5A87_.wvu.Rows" localSheetId="0" hidden="1">'1. РО'!$28:$28,'1. РО'!$32:$32,'1. РО'!$52:$52,'1. РО'!$61:$61,'1. РО'!$73:$73,'1. РО'!$77:$77</definedName>
    <definedName name="Z_B6B60ED6_A6CC_4DA7_A8CA_5E6DB52D5A87_.wvu.Rows" localSheetId="13" hidden="1">'14. РТС'!$14:$15,'14. РТС'!$19:$19,'14. РТС'!$30:$30,'14. РТС'!$33:$33,'14. РТС'!$36:$36,'14. РТС'!$43:$43</definedName>
    <definedName name="Z_B6B60ED6_A6CC_4DA7_A8CA_5E6DB52D5A87_.wvu.Rows" localSheetId="19" hidden="1">'20. МСП'!$19:$19</definedName>
    <definedName name="Z_B6B60ED6_A6CC_4DA7_A8CA_5E6DB52D5A87_.wvu.Rows" localSheetId="3" hidden="1">'4. КП'!$23:$23,'4. КП'!$27:$27,'4. КП'!$68:$68,'4. КП'!$75:$75,'4. КП'!$83:$83,'4. КП'!$87:$88,'4. КП'!$91:$91,'4. КП'!$93:$93</definedName>
    <definedName name="Z_B6B60ED6_A6CC_4DA7_A8CA_5E6DB52D5A8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B60ED6_A6CC_4DA7_A8CA_5E6DB52D5A87_.wvu.Rows" localSheetId="5" hidden="1">'6. СЗН'!$9:$9,'6. СЗН'!$14:$14,'6. СЗН'!$18:$18,'6. СЗН'!$22:$22,'6. СЗН'!$26:$26,'6. СЗН'!$30:$31,'6. СЗН'!$34:$34,'6. СЗН'!$36:$36,'6. СЗН'!$39:$39,'6. СЗН'!$43:$43,'6. СЗН'!$45:$45,'6. СЗН'!$47:$48</definedName>
    <definedName name="Z_B6B60ED6_A6CC_4DA7_A8CA_5E6DB52D5A87_.wvu.Rows" localSheetId="8" hidden="1">'9. РЖКК'!$14:$14,'9. РЖКК'!$28:$28</definedName>
    <definedName name="Z_BBF6B43F_E0FC_43DF_B91C_674F6AB4B556_.wvu.Rows" localSheetId="0" hidden="1">'1. РО'!$28:$28,'1. РО'!$32:$32,'1. РО'!$52:$52,'1. РО'!$61:$61,'1. РО'!$73:$73,'1. РО'!$77:$77</definedName>
    <definedName name="Z_BBF6B43F_E0FC_43DF_B91C_674F6AB4B556_.wvu.Rows" localSheetId="13" hidden="1">'14. РТС'!$14:$15,'14. РТС'!$19:$19,'14. РТС'!$30:$30,'14. РТС'!$33:$33,'14. РТС'!$36:$36,'14. РТС'!$43:$43</definedName>
    <definedName name="Z_BBF6B43F_E0FC_43DF_B91C_674F6AB4B556_.wvu.Rows" localSheetId="19" hidden="1">'20. МСП'!$19:$19</definedName>
    <definedName name="Z_BBF6B43F_E0FC_43DF_B91C_674F6AB4B556_.wvu.Rows" localSheetId="3" hidden="1">'4. КП'!$23:$23,'4. КП'!$27:$27,'4. КП'!$68:$68,'4. КП'!$75:$75,'4. КП'!$83:$83,'4. КП'!$87:$88,'4. КП'!$91:$91,'4. КП'!$93:$93</definedName>
    <definedName name="Z_BBF6B43F_E0FC_43DF_B91C_674F6AB4B556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$77:$78,'5.РФКиС'!$80:$80,'5.РФКиС'!$83:$84</definedName>
    <definedName name="Z_BBF6B43F_E0FC_43DF_B91C_674F6AB4B556_.wvu.Rows" localSheetId="5" hidden="1">'6. СЗН'!$9:$9,'6. СЗН'!$14:$14,'6. СЗН'!$18:$18,'6. СЗН'!$22:$22,'6. СЗН'!$26:$26,'6. СЗН'!$30:$31,'6. СЗН'!$34:$34,'6. СЗН'!$36:$36,'6. СЗН'!$39:$39,'6. СЗН'!$43:$43,'6. СЗН'!$45:$45,'6. СЗН'!$47:$48</definedName>
    <definedName name="Z_BBF6B43F_E0FC_43DF_B91C_674F6AB4B556_.wvu.Rows" localSheetId="8" hidden="1">'9. РЖКК'!$14:$14,'9. РЖКК'!$28:$28</definedName>
    <definedName name="Z_C01DC081_B312_4391_B775_A8CE76216D71_.wvu.Rows" localSheetId="0" hidden="1">'1. РО'!$28:$28,'1. РО'!$32:$32,'1. РО'!$52:$52,'1. РО'!$61:$61,'1. РО'!$73:$73,'1. РО'!$77:$77</definedName>
    <definedName name="Z_C01DC081_B312_4391_B775_A8CE76216D71_.wvu.Rows" localSheetId="13" hidden="1">'14. РТС'!$14:$15,'14. РТС'!$19:$19,'14. РТС'!$30:$30,'14. РТС'!$33:$33,'14. РТС'!$36:$36,'14. РТС'!$43:$43</definedName>
    <definedName name="Z_C01DC081_B312_4391_B775_A8CE76216D71_.wvu.Rows" localSheetId="19" hidden="1">'20. МСП'!$19:$19</definedName>
    <definedName name="Z_C01DC081_B312_4391_B775_A8CE76216D71_.wvu.Rows" localSheetId="3" hidden="1">'4. КП'!$23:$23,'4. КП'!$27:$27,'4. КП'!$68:$68,'4. КП'!$75:$75,'4. КП'!$83:$83,'4. КП'!$87:$88,'4. КП'!$91:$91,'4. КП'!$93:$93</definedName>
    <definedName name="Z_C01DC081_B312_4391_B775_A8CE76216D7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01DC081_B312_4391_B775_A8CE76216D71_.wvu.Rows" localSheetId="5" hidden="1">'6. СЗН'!$9:$9,'6. СЗН'!$14:$14,'6. СЗН'!$18:$18,'6. СЗН'!$22:$22,'6. СЗН'!$26:$26,'6. СЗН'!$30:$31,'6. СЗН'!$34:$34,'6. СЗН'!$36:$36,'6. СЗН'!$39:$39,'6. СЗН'!$43:$43,'6. СЗН'!$45:$45,'6. СЗН'!$47:$48</definedName>
    <definedName name="Z_C01DC081_B312_4391_B775_A8CE76216D71_.wvu.Rows" localSheetId="8" hidden="1">'9. РЖКК'!$14:$14,'9. РЖКК'!$28:$28</definedName>
    <definedName name="Z_C282AA4E_1BB5_4296_9AC6_844C0F88E5FC_.wvu.Rows" localSheetId="0" hidden="1">'1. РО'!$28:$28,'1. РО'!$32:$32,'1. РО'!$52:$52,'1. РО'!$61:$61,'1. РО'!$73:$73,'1. РО'!$77:$77</definedName>
    <definedName name="Z_C282AA4E_1BB5_4296_9AC6_844C0F88E5FC_.wvu.Rows" localSheetId="13" hidden="1">'14. РТС'!$14:$15,'14. РТС'!$19:$19,'14. РТС'!$30:$30,'14. РТС'!$33:$33,'14. РТС'!$36:$36,'14. РТС'!$43:$43</definedName>
    <definedName name="Z_C282AA4E_1BB5_4296_9AC6_844C0F88E5FC_.wvu.Rows" localSheetId="19" hidden="1">'20. МСП'!$19:$19</definedName>
    <definedName name="Z_C282AA4E_1BB5_4296_9AC6_844C0F88E5FC_.wvu.Rows" localSheetId="3" hidden="1">'4. КП'!$23:$23,'4. КП'!$27:$27,'4. КП'!$68:$68,'4. КП'!$75:$75,'4. КП'!$83:$83,'4. КП'!$87:$88,'4. КП'!$91:$91,'4. КП'!$93:$93</definedName>
    <definedName name="Z_C282AA4E_1BB5_4296_9AC6_844C0F88E5FC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282AA4E_1BB5_4296_9AC6_844C0F88E5FC_.wvu.Rows" localSheetId="5" hidden="1">'6. СЗН'!$9:$9,'6. СЗН'!$14:$14,'6. СЗН'!$18:$18,'6. СЗН'!$22:$22,'6. СЗН'!$26:$26,'6. СЗН'!$30:$31,'6. СЗН'!$34:$34,'6. СЗН'!$36:$36,'6. СЗН'!$39:$39,'6. СЗН'!$43:$43,'6. СЗН'!$45:$45,'6. СЗН'!$47:$48</definedName>
    <definedName name="Z_C282AA4E_1BB5_4296_9AC6_844C0F88E5FC_.wvu.Rows" localSheetId="8" hidden="1">'9. РЖКК'!$14:$14,'9. РЖКК'!$28:$28</definedName>
    <definedName name="Z_C68436F4_AFB3_4D1D_A7C4_56D0C677D68E_.wvu.Rows" localSheetId="0" hidden="1">'1. РО'!$28:$28,'1. РО'!$32:$32,'1. РО'!$52:$52,'1. РО'!$61:$61,'1. РО'!$73:$73,'1. РО'!$77:$77</definedName>
    <definedName name="Z_C68436F4_AFB3_4D1D_A7C4_56D0C677D68E_.wvu.Rows" localSheetId="13" hidden="1">'14. РТС'!$14:$15,'14. РТС'!$19:$19,'14. РТС'!$30:$30,'14. РТС'!$33:$33,'14. РТС'!$36:$36,'14. РТС'!$43:$43</definedName>
    <definedName name="Z_C68436F4_AFB3_4D1D_A7C4_56D0C677D68E_.wvu.Rows" localSheetId="19" hidden="1">'20. МСП'!$19:$19</definedName>
    <definedName name="Z_C68436F4_AFB3_4D1D_A7C4_56D0C677D68E_.wvu.Rows" localSheetId="3" hidden="1">'4. КП'!$23:$23,'4. КП'!$27:$27,'4. КП'!$68:$68,'4. КП'!$75:$75,'4. КП'!$83:$83,'4. КП'!$87:$88,'4. КП'!$91:$91,'4. КП'!$93:$93</definedName>
    <definedName name="Z_C68436F4_AFB3_4D1D_A7C4_56D0C677D68E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68436F4_AFB3_4D1D_A7C4_56D0C677D68E_.wvu.Rows" localSheetId="5" hidden="1">'6. СЗН'!$9:$9,'6. СЗН'!$14:$14,'6. СЗН'!$18:$18,'6. СЗН'!$22:$22,'6. СЗН'!$26:$26,'6. СЗН'!$30:$31,'6. СЗН'!$34:$34,'6. СЗН'!$36:$36,'6. СЗН'!$39:$39,'6. СЗН'!$43:$43,'6. СЗН'!$45:$45,'6. СЗН'!$47:$48</definedName>
    <definedName name="Z_C68436F4_AFB3_4D1D_A7C4_56D0C677D68E_.wvu.Rows" localSheetId="8" hidden="1">'9. РЖКК'!$14:$14,'9. РЖКК'!$28:$28</definedName>
    <definedName name="Z_C7DC638A_7F60_46C9_A1FB_9ADEAE87F332_.wvu.Rows" localSheetId="0" hidden="1">'1. РО'!$28:$28,'1. РО'!$32:$32,'1. РО'!$52:$52,'1. РО'!$61:$61,'1. РО'!$73:$73,'1. РО'!$77:$77</definedName>
    <definedName name="Z_C7DC638A_7F60_46C9_A1FB_9ADEAE87F332_.wvu.Rows" localSheetId="13" hidden="1">'14. РТС'!$14:$15,'14. РТС'!$19:$19,'14. РТС'!$30:$30,'14. РТС'!$33:$33,'14. РТС'!$36:$36,'14. РТС'!$43:$43</definedName>
    <definedName name="Z_C7DC638A_7F60_46C9_A1FB_9ADEAE87F332_.wvu.Rows" localSheetId="19" hidden="1">'20. МСП'!$19:$19</definedName>
    <definedName name="Z_C7DC638A_7F60_46C9_A1FB_9ADEAE87F332_.wvu.Rows" localSheetId="3" hidden="1">'4. КП'!$23:$23,'4. КП'!$27:$27,'4. КП'!$68:$68,'4. КП'!$75:$75,'4. КП'!$83:$83,'4. КП'!$87:$88,'4. КП'!$91:$91,'4. КП'!$93:$93</definedName>
    <definedName name="Z_C7DC638A_7F60_46C9_A1FB_9ADEAE87F332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7DC638A_7F60_46C9_A1FB_9ADEAE87F332_.wvu.Rows" localSheetId="5" hidden="1">'6. СЗН'!$9:$9,'6. СЗН'!$14:$14,'6. СЗН'!$18:$18,'6. СЗН'!$22:$22,'6. СЗН'!$26:$26,'6. СЗН'!$30:$31,'6. СЗН'!$34:$34,'6. СЗН'!$36:$36,'6. СЗН'!$39:$39,'6. СЗН'!$43:$43,'6. СЗН'!$45:$45,'6. СЗН'!$47:$48</definedName>
    <definedName name="Z_C7DC638A_7F60_46C9_A1FB_9ADEAE87F332_.wvu.Rows" localSheetId="8" hidden="1">'9. РЖКК'!$14:$14,'9. РЖКК'!$28:$28</definedName>
    <definedName name="Z_DAEDC989_02E7_4319_8354_59410ACF3F1F_.wvu.Rows" localSheetId="0" hidden="1">'1. РО'!$28:$28,'1. РО'!$32:$32,'1. РО'!$52:$52,'1. РО'!$61:$61,'1. РО'!$73:$73,'1. РО'!$77:$77</definedName>
    <definedName name="Z_DAEDC989_02E7_4319_8354_59410ACF3F1F_.wvu.Rows" localSheetId="13" hidden="1">'14. РТС'!$14:$15,'14. РТС'!$19:$19,'14. РТС'!$30:$30,'14. РТС'!$33:$33,'14. РТС'!$36:$36,'14. РТС'!$43:$43</definedName>
    <definedName name="Z_DAEDC989_02E7_4319_8354_59410ACF3F1F_.wvu.Rows" localSheetId="19" hidden="1">'20. МСП'!$19:$19</definedName>
    <definedName name="Z_DAEDC989_02E7_4319_8354_59410ACF3F1F_.wvu.Rows" localSheetId="3" hidden="1">'4. КП'!$23:$23,'4. КП'!$27:$27,'4. КП'!$68:$68,'4. КП'!$75:$75,'4. КП'!$83:$83,'4. КП'!$87:$88,'4. КП'!$91:$91,'4. КП'!$93:$93</definedName>
    <definedName name="Z_DAEDC989_02E7_4319_8354_59410ACF3F1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DAEDC989_02E7_4319_8354_59410ACF3F1F_.wvu.Rows" localSheetId="5" hidden="1">'6. СЗН'!$9:$9,'6. СЗН'!$14:$14,'6. СЗН'!$18:$18,'6. СЗН'!$22:$22,'6. СЗН'!$26:$26,'6. СЗН'!$30:$31,'6. СЗН'!$34:$34,'6. СЗН'!$36:$36,'6. СЗН'!$39:$39,'6. СЗН'!$43:$43,'6. СЗН'!$45:$45,'6. СЗН'!$47:$48</definedName>
    <definedName name="Z_DAEDC989_02E7_4319_8354_59410ACF3F1F_.wvu.Rows" localSheetId="8" hidden="1">'9. РЖКК'!$14:$14,'9. РЖКК'!$28:$28</definedName>
    <definedName name="Z_EA46B61D_849C_4795_A4FF_F8F1740022EB_.wvu.PrintTitles" localSheetId="16" hidden="1">'17. УМИ'!$4:$7</definedName>
    <definedName name="Z_EA46B61D_849C_4795_A4FF_F8F1740022EB_.wvu.Rows" localSheetId="0" hidden="1">'1. РО'!$28:$28,'1. РО'!$32:$32,'1. РО'!$52:$52,'1. РО'!$61:$61,'1. РО'!$73:$73,'1. РО'!$77:$77</definedName>
    <definedName name="Z_EA46B61D_849C_4795_A4FF_F8F1740022EB_.wvu.Rows" localSheetId="13" hidden="1">'14. РТС'!$14:$15,'14. РТС'!$19:$19,'14. РТС'!$30:$30,'14. РТС'!$33:$33,'14. РТС'!$36:$36,'14. РТС'!$43:$43</definedName>
    <definedName name="Z_EA46B61D_849C_4795_A4FF_F8F1740022EB_.wvu.Rows" localSheetId="19" hidden="1">'20. МСП'!$19:$19</definedName>
    <definedName name="Z_EA46B61D_849C_4795_A4FF_F8F1740022EB_.wvu.Rows" localSheetId="3" hidden="1">'4. КП'!$23:$23,'4. КП'!$27:$27,'4. КП'!$68:$68,'4. КП'!$75:$75,'4. КП'!$83:$83,'4. КП'!$87:$88,'4. КП'!$91:$91,'4. КП'!$93:$93</definedName>
    <definedName name="Z_EA46B61D_849C_4795_A4FF_F8F1740022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EA46B61D_849C_4795_A4FF_F8F1740022EB_.wvu.Rows" localSheetId="5" hidden="1">'6. СЗН'!$9:$9,'6. СЗН'!$14:$14,'6. СЗН'!$18:$18,'6. СЗН'!$22:$22,'6. СЗН'!$26:$26,'6. СЗН'!$30:$31,'6. СЗН'!$34:$34,'6. СЗН'!$36:$36,'6. СЗН'!$39:$39,'6. СЗН'!$43:$43,'6. СЗН'!$45:$45,'6. СЗН'!$47:$48</definedName>
    <definedName name="Z_EA46B61D_849C_4795_A4FF_F8F1740022EB_.wvu.Rows" localSheetId="8" hidden="1">'9. РЖКК'!$14:$14,'9. РЖКК'!$28:$28</definedName>
    <definedName name="Z_F528EF6A_C113_49B5_B25F_D660F898CBFB_.wvu.PrintTitles" localSheetId="16" hidden="1">'17. УМИ'!$4:$7</definedName>
    <definedName name="Z_F528EF6A_C113_49B5_B25F_D660F898CBFB_.wvu.Rows" localSheetId="0" hidden="1">'1. РО'!$28:$28,'1. РО'!$32:$32,'1. РО'!$52:$52,'1. РО'!$61:$61,'1. РО'!$73:$73,'1. РО'!$77:$77</definedName>
    <definedName name="Z_F528EF6A_C113_49B5_B25F_D660F898CBFB_.wvu.Rows" localSheetId="13" hidden="1">'14. РТС'!$14:$15,'14. РТС'!$19:$19,'14. РТС'!$30:$30,'14. РТС'!$33:$33,'14. РТС'!$36:$36,'14. РТС'!$43:$43</definedName>
    <definedName name="Z_F528EF6A_C113_49B5_B25F_D660F898CBFB_.wvu.Rows" localSheetId="19" hidden="1">'20. МСП'!$19:$19</definedName>
    <definedName name="Z_F528EF6A_C113_49B5_B25F_D660F898CBFB_.wvu.Rows" localSheetId="3" hidden="1">'4. КП'!$23:$23,'4. КП'!$27:$27,'4. КП'!$68:$68,'4. КП'!$75:$75,'4. КП'!$83:$83,'4. КП'!$87:$88,'4. КП'!$91:$91,'4. КП'!$93:$93</definedName>
    <definedName name="Z_F528EF6A_C113_49B5_B25F_D660F898CBF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F528EF6A_C113_49B5_B25F_D660F898CBFB_.wvu.Rows" localSheetId="5" hidden="1">'6. СЗН'!$9:$9,'6. СЗН'!$14:$14,'6. СЗН'!$18:$18,'6. СЗН'!$22:$22,'6. СЗН'!$26:$26,'6. СЗН'!$30:$31,'6. СЗН'!$34:$34,'6. СЗН'!$36:$36,'6. СЗН'!$39:$39,'6. СЗН'!$43:$43,'6. СЗН'!$45:$45,'6. СЗН'!$47:$48</definedName>
    <definedName name="Z_F528EF6A_C113_49B5_B25F_D660F898CBFB_.wvu.Rows" localSheetId="8" hidden="1">'9. РЖКК'!$14:$14,'9. РЖКК'!$28:$28</definedName>
    <definedName name="_xlnm.Print_Titles" localSheetId="16">'17. УМИ'!$4:$7</definedName>
  </definedNames>
  <calcPr calcId="162913"/>
  <customWorkbookViews>
    <customWorkbookView name="Лукманова Эльвира Наильевна - Личное представление" guid="{133BB3F8-8DD4-4AEF-8CD6-A5FB14681329}" mergeInterval="0" personalView="1" maximized="1" xWindow="-8" yWindow="-8" windowWidth="1936" windowHeight="1056" activeSheetId="18" showComments="commIndAndComment"/>
    <customWorkbookView name="Шамерзоева Татьяна Федоровна - Личное представление" guid="{7C5A2A36-3D69-43D9-9018-A52C27EC78F9}" mergeInterval="0" personalView="1" maximized="1" xWindow="-8" yWindow="-8" windowWidth="2576" windowHeight="1416" activeSheetId="7"/>
    <customWorkbookView name="Степаненко Наталья Алексеевна - Личное представление" guid="{2A5A11D4-90C6-4A3E-8165-7D7BD634B22F}" mergeInterval="0" personalView="1" maximized="1" xWindow="-8" yWindow="-8" windowWidth="1936" windowHeight="1048" activeSheetId="11"/>
    <customWorkbookView name="Харченко Ольга Владимировна - Личное представление" guid="{996EC2F0-F6EC-4E63-A83E-34865157BD8D}" mergeInterval="0" personalView="1" maximized="1" xWindow="-8" yWindow="-8" windowWidth="1936" windowHeight="1056" activeSheetId="1"/>
    <customWorkbookView name="Цёвка Елена Александровна - Личное представление" guid="{AB9978E4-895D-4050-8F07-2484E22632D1}" mergeInterval="0" personalView="1" maximized="1" xWindow="-8" yWindow="-8" windowWidth="1936" windowHeight="1048" activeSheetId="18"/>
    <customWorkbookView name="Митина Екатерина Сергеевна - Личное представление" guid="{21E1D423-7B38-4272-8354-09B4DB62C9EB}" mergeInterval="0" personalView="1" maximized="1" xWindow="-8" yWindow="-8" windowWidth="2576" windowHeight="1408" activeSheetId="13"/>
    <customWorkbookView name="Тихонова Лариса Анатольевна - Личное представление" guid="{2940A182-D1A7-43C5-8D6E-965BED4371B0}" mergeInterval="0" personalView="1" maximized="1" xWindow="-8" yWindow="-8" windowWidth="1936" windowHeight="1056" activeSheetId="4"/>
    <customWorkbookView name="Мартынова Снежана Владимировна - Личное представление" guid="{A0E2FBF6-E560-4343-8BE6-217DC798135B}" mergeInterval="0" personalView="1" maximized="1" xWindow="-8" yWindow="-8" windowWidth="1936" windowHeight="1056" activeSheetId="6"/>
    <customWorkbookView name="Мягкова Оксана Викторовна - Личное представление" guid="{BBF6B43F-E0FC-43DF-B91C-674F6AB4B556}" mergeInterval="0" personalView="1" maximized="1" xWindow="-8" yWindow="-8" windowWidth="1936" windowHeight="1056" activeSheetId="5"/>
    <customWorkbookView name="Наталья В. Балабанская - Личное представление" guid="{C68436F4-AFB3-4D1D-A7C4-56D0C677D68E}" mergeInterval="0" personalView="1" maximized="1" xWindow="-8" yWindow="-8" windowWidth="1936" windowHeight="1056" activeSheetId="15"/>
    <customWorkbookView name="Чекменева Наталья Валерьевна - Личное представление" guid="{DAEDC989-02E7-4319-8354-59410ACF3F1F}" mergeInterval="0" personalView="1" maximized="1" xWindow="-8" yWindow="-8" windowWidth="1936" windowHeight="1056" activeSheetId="9"/>
    <customWorkbookView name="Хамадуллина Анастасия Олеговна - Личное представление" guid="{519948E4-0B24-465F-9D9E-44BE50D1D647}" mergeInterval="0" personalView="1" maximized="1" xWindow="-8" yWindow="-8" windowWidth="1936" windowHeight="1056" activeSheetId="17"/>
    <customWorkbookView name="Ильина Альбина Фанилевна - Личное представление" guid="{C7DC638A-7F60-46C9-A1FB-9ADEAE87F332}" mergeInterval="0" personalView="1" maximized="1" xWindow="-8" yWindow="-8" windowWidth="1936" windowHeight="1056" activeSheetId="15"/>
    <customWorkbookView name="Смекалин Дмитрий Александрович - Личное представление" guid="{C01DC081-B312-4391-B775-A8CE76216D71}" mergeInterval="0" personalView="1" maximized="1" xWindow="54" yWindow="-8" windowWidth="1874" windowHeight="1096" activeSheetId="11"/>
    <customWorkbookView name="Зарбалиева Оксана Валерьевна - Личное представление" guid="{562453CE-35F5-40A3-AD14-6399D1197C99}" mergeInterval="0" personalView="1" maximized="1" xWindow="-8" yWindow="-8" windowWidth="1936" windowHeight="1056" activeSheetId="15"/>
    <customWorkbookView name="Евдокимова Елена Владимировна - Личное представление" guid="{A7640BE7-6438-4196-9A67-AF5B992A1E70}" mergeInterval="0" personalView="1" maximized="1" xWindow="-8" yWindow="-8" windowWidth="1936" windowHeight="1048" tabRatio="788" activeSheetId="17"/>
    <customWorkbookView name="Васильева Мария Сергеевна - Личное представление" guid="{30B635D9-57DB-47D5-8A0F-4B30DD769960}" mergeInterval="0" personalView="1" maximized="1" xWindow="-8" yWindow="-8" windowWidth="1936" windowHeight="1056" activeSheetId="9"/>
    <customWorkbookView name="Ахрамович Евгения Анатольевна - Личное представление" guid="{20A05A62-CBE8-4538-BBC3-2AD9D3B8FAC0}" mergeInterval="0" personalView="1" maximized="1" xWindow="-8" yWindow="-8" windowWidth="1936" windowHeight="1056" activeSheetId="16"/>
    <customWorkbookView name="Спиридонова Юлия Леонидовна - Личное представление" guid="{C282AA4E-1BB5-4296-9AC6-844C0F88E5FC}" mergeInterval="0" personalView="1" maximized="1" xWindow="-8" yWindow="-8" windowWidth="2576" windowHeight="1408" activeSheetId="20"/>
    <customWorkbookView name="Колесник Елена Николаевна - Личное представление" guid="{4E221C17-6DAB-4FFA-B18C-35D4D85AF6E8}" mergeInterval="0" personalView="1" maximized="1" xWindow="-4" yWindow="-4" windowWidth="1928" windowHeight="1048" activeSheetId="10"/>
    <customWorkbookView name="Цыганкова Ирина Анатольевна - Личное представление" guid="{AFADB96A-0516-43C1-9F1B-0604F3CAC04A}" mergeInterval="0" personalView="1" xWindow="33" windowWidth="1982" windowHeight="1392" activeSheetId="8"/>
    <customWorkbookView name="Тумачкова Екатерина Владимировна - Личное представление" guid="{F528EF6A-C113-49B5-B25F-D660F898CBFB}" mergeInterval="0" personalView="1" maximized="1" xWindow="-8" yWindow="-8" windowWidth="1936" windowHeight="1048" activeSheetId="12"/>
    <customWorkbookView name="Епифанова Елена Валерьевна - Личное представление" guid="{B6B60ED6-A6CC-4DA7-A8CA-5E6DB52D5A87}" mergeInterval="0" personalView="1" maximized="1" xWindow="-8" yWindow="-8" windowWidth="1936" windowHeight="1056" activeSheetId="3"/>
    <customWorkbookView name="Осинцева Татьяна Николаевна - Личное представление" guid="{A4AF2100-C59D-4F60-9EAB-56D9103463F7}" mergeInterval="0" personalView="1" maximized="1" xWindow="-8" yWindow="-8" windowWidth="1936" windowHeight="1056" activeSheetId="2"/>
    <customWorkbookView name="Хазиева Татьяна Михайловна - Личное представление" guid="{EA46B61D-849C-4795-A4FF-F8F1740022EB}" mergeInterval="0" personalView="1" xWindow="51" yWindow="38" windowWidth="2398" windowHeight="1284" activeSheetId="10"/>
    <customWorkbookView name="Ларионов Сергей Александрович - Личное представление" guid="{B686A221-D885-4536-BEAC-E7F4BBC02150}" mergeInterval="0" personalView="1" maximized="1" xWindow="-8" yWindow="-8" windowWidth="1936" windowHeight="1048" activeSheetId="11"/>
    <customWorkbookView name="Подворчан Оксана - Личное представление" guid="{60A1F930-4BEC-460A-8E14-01E47F6DD055}" mergeInterval="0" personalView="1" maximized="1" xWindow="-4" yWindow="-4" windowWidth="1928" windowHeight="1038" activeSheetId="16"/>
    <customWorkbookView name="Игошкина Марина Юрьевна - Личное представление" guid="{5DF2C78B-5EE4-439D-8D72-8D3A913B65F9}" mergeInterval="0" personalView="1" maximized="1" xWindow="-8" yWindow="-8" windowWidth="1936" windowHeight="1056" activeSheetId="19"/>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2" i="4" l="1"/>
  <c r="AC61" i="4" s="1"/>
  <c r="AH61" i="4"/>
  <c r="E27" i="18"/>
  <c r="E30" i="18"/>
  <c r="E25" i="18"/>
  <c r="F9" i="18"/>
  <c r="E9" i="18"/>
  <c r="D9" i="18"/>
  <c r="E13" i="7" l="1"/>
  <c r="E15" i="7"/>
  <c r="E24" i="19" l="1"/>
  <c r="E21" i="19"/>
  <c r="E20" i="19"/>
  <c r="E19" i="19"/>
  <c r="E17" i="19"/>
  <c r="E9" i="19"/>
  <c r="E14" i="19" l="1"/>
  <c r="E11" i="19"/>
  <c r="E10" i="19"/>
  <c r="P9" i="19" l="1"/>
  <c r="AG23" i="19"/>
  <c r="AF23" i="19"/>
  <c r="AE23" i="19"/>
  <c r="AD23" i="19"/>
  <c r="AC23" i="19"/>
  <c r="AB23" i="19"/>
  <c r="AA23" i="19"/>
  <c r="Z23" i="19"/>
  <c r="Y23" i="19"/>
  <c r="X23" i="19"/>
  <c r="W23" i="19"/>
  <c r="V23" i="19"/>
  <c r="U23" i="19"/>
  <c r="T23" i="19"/>
  <c r="S23" i="19"/>
  <c r="R23" i="19"/>
  <c r="Q23" i="19"/>
  <c r="P23" i="19"/>
  <c r="O23" i="19"/>
  <c r="N23" i="19"/>
  <c r="M23" i="19"/>
  <c r="L23" i="19"/>
  <c r="K23" i="19"/>
  <c r="J23"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F17" i="19"/>
  <c r="S17" i="19"/>
  <c r="R17" i="19"/>
  <c r="Q17" i="19"/>
  <c r="P17" i="19"/>
  <c r="P16" i="19" s="1"/>
  <c r="O17" i="19"/>
  <c r="O16" i="19" s="1"/>
  <c r="N17" i="19"/>
  <c r="N16" i="19" s="1"/>
  <c r="M17" i="19"/>
  <c r="M16" i="19" s="1"/>
  <c r="L17" i="19"/>
  <c r="AG16" i="19"/>
  <c r="AF16" i="19"/>
  <c r="AE16" i="19"/>
  <c r="AD16" i="19"/>
  <c r="AC16" i="19"/>
  <c r="AB16" i="19"/>
  <c r="AA16" i="19"/>
  <c r="Z16" i="19"/>
  <c r="Y16" i="19"/>
  <c r="X16" i="19"/>
  <c r="W16" i="19"/>
  <c r="V16" i="19"/>
  <c r="U16" i="19"/>
  <c r="T16" i="19"/>
  <c r="S16" i="19"/>
  <c r="R16" i="19"/>
  <c r="Q16" i="19"/>
  <c r="L16" i="19"/>
  <c r="K16" i="19"/>
  <c r="J16" i="19"/>
  <c r="AG13" i="19"/>
  <c r="AF13" i="19"/>
  <c r="AE13" i="19"/>
  <c r="AD13" i="19"/>
  <c r="AC13" i="19"/>
  <c r="AB13" i="19"/>
  <c r="AA13" i="19"/>
  <c r="Z13" i="19"/>
  <c r="Y13" i="19"/>
  <c r="X13" i="19"/>
  <c r="W13" i="19"/>
  <c r="V13" i="19"/>
  <c r="U13" i="19"/>
  <c r="T13" i="19"/>
  <c r="S13" i="19"/>
  <c r="R13" i="19"/>
  <c r="Q13" i="19"/>
  <c r="P13" i="19"/>
  <c r="O13" i="19"/>
  <c r="N13" i="19"/>
  <c r="M13" i="19"/>
  <c r="L13" i="19"/>
  <c r="K13" i="19"/>
  <c r="J13" i="19"/>
  <c r="E55" i="16" l="1"/>
  <c r="F55" i="16"/>
  <c r="E48" i="16"/>
  <c r="E45" i="16"/>
  <c r="E41" i="16"/>
  <c r="G35" i="16"/>
  <c r="E35" i="16"/>
  <c r="E33" i="16"/>
  <c r="G26" i="16"/>
  <c r="G27" i="16"/>
  <c r="E27" i="16"/>
  <c r="E26" i="16"/>
  <c r="D26" i="16"/>
  <c r="E22" i="16"/>
  <c r="G9" i="16"/>
  <c r="F9" i="16"/>
  <c r="E9" i="16"/>
  <c r="D9" i="16"/>
  <c r="F61" i="16"/>
  <c r="E61" i="16"/>
  <c r="F57" i="16"/>
  <c r="E57" i="16"/>
  <c r="F59" i="16"/>
  <c r="E59" i="16"/>
  <c r="F45" i="16" l="1"/>
  <c r="F37" i="16"/>
  <c r="E37" i="16"/>
  <c r="F36" i="16"/>
  <c r="F26" i="16"/>
  <c r="F27" i="16"/>
  <c r="E9" i="10" l="1"/>
  <c r="E10" i="10"/>
  <c r="E11" i="10"/>
  <c r="E38" i="10"/>
  <c r="E35" i="10"/>
  <c r="E33" i="10"/>
  <c r="E31" i="10"/>
  <c r="E29" i="10"/>
  <c r="E26" i="10"/>
  <c r="E24" i="10"/>
  <c r="E22" i="10"/>
  <c r="E20" i="10"/>
  <c r="E19" i="10"/>
  <c r="E18" i="10" s="1"/>
  <c r="E17" i="10"/>
  <c r="E15" i="10"/>
  <c r="E14" i="10"/>
  <c r="E27" i="11"/>
  <c r="E25" i="11"/>
  <c r="E22" i="11"/>
  <c r="E20" i="11"/>
  <c r="E18" i="11"/>
  <c r="E16" i="11"/>
  <c r="E14" i="11"/>
  <c r="E12" i="11"/>
  <c r="AI27" i="11" l="1"/>
  <c r="AI25" i="11"/>
  <c r="AI22" i="11"/>
  <c r="AI20" i="11"/>
  <c r="AI18" i="11"/>
  <c r="AI16" i="11"/>
  <c r="AI14" i="11"/>
  <c r="P12" i="11"/>
  <c r="F13" i="11"/>
  <c r="K12" i="11"/>
  <c r="K9" i="11" s="1"/>
  <c r="G13" i="11"/>
  <c r="G9" i="11" l="1"/>
  <c r="F9" i="11"/>
  <c r="D8" i="2"/>
  <c r="G15" i="2"/>
  <c r="E15" i="2"/>
  <c r="E14" i="2"/>
  <c r="E18" i="2"/>
  <c r="G19" i="2"/>
  <c r="E19" i="2"/>
  <c r="T15" i="11" l="1"/>
  <c r="E23" i="3" l="1"/>
  <c r="E21" i="3"/>
  <c r="E19" i="3"/>
  <c r="E18" i="3"/>
  <c r="E16" i="3"/>
  <c r="E15" i="3"/>
  <c r="E14" i="3"/>
  <c r="F9" i="3"/>
  <c r="S9" i="2" l="1"/>
  <c r="AC11" i="2"/>
  <c r="E15" i="12" l="1"/>
  <c r="E13" i="12"/>
  <c r="AG10" i="12"/>
  <c r="AF10" i="12"/>
  <c r="AE10" i="12"/>
  <c r="AD10" i="12"/>
  <c r="AC10" i="12"/>
  <c r="AB10" i="12"/>
  <c r="AA10" i="12"/>
  <c r="Z10" i="12"/>
  <c r="Y10" i="12"/>
  <c r="X10" i="12"/>
  <c r="W10" i="12"/>
  <c r="V10" i="12"/>
  <c r="U10" i="12"/>
  <c r="T10" i="12"/>
  <c r="S10" i="12"/>
  <c r="R10" i="12"/>
  <c r="Q10" i="12"/>
  <c r="P10" i="12"/>
  <c r="O10" i="12"/>
  <c r="N10" i="12"/>
  <c r="M10" i="12"/>
  <c r="K10" i="12"/>
  <c r="L10" i="12"/>
  <c r="K9" i="12"/>
  <c r="J9" i="12"/>
  <c r="R9" i="12"/>
  <c r="AF85" i="1"/>
  <c r="T85" i="1"/>
  <c r="E85" i="1" s="1"/>
  <c r="E87" i="1"/>
  <c r="E84" i="1"/>
  <c r="AB78" i="1"/>
  <c r="Z80" i="1" l="1"/>
  <c r="E80" i="1" l="1"/>
  <c r="E79" i="1"/>
  <c r="E78" i="1"/>
  <c r="J40" i="1"/>
  <c r="K34" i="1"/>
  <c r="D59" i="1"/>
  <c r="D58" i="1" s="1"/>
  <c r="G59" i="1"/>
  <c r="F59" i="1" s="1"/>
  <c r="E59" i="1"/>
  <c r="E58" i="1" s="1"/>
  <c r="AG58" i="1"/>
  <c r="AG39" i="1" s="1"/>
  <c r="AF58" i="1"/>
  <c r="AF39" i="1" s="1"/>
  <c r="AE58" i="1"/>
  <c r="AE39" i="1" s="1"/>
  <c r="AD58" i="1"/>
  <c r="AD39" i="1" s="1"/>
  <c r="AC58" i="1"/>
  <c r="AC39" i="1" s="1"/>
  <c r="AB58" i="1"/>
  <c r="AB39" i="1" s="1"/>
  <c r="AA58" i="1"/>
  <c r="AA39" i="1" s="1"/>
  <c r="Z58" i="1"/>
  <c r="Z39" i="1" s="1"/>
  <c r="Y58" i="1"/>
  <c r="Y39" i="1" s="1"/>
  <c r="X58" i="1"/>
  <c r="X39" i="1" s="1"/>
  <c r="W58" i="1"/>
  <c r="W39" i="1" s="1"/>
  <c r="V58" i="1"/>
  <c r="V39" i="1" s="1"/>
  <c r="U58" i="1"/>
  <c r="U39" i="1" s="1"/>
  <c r="T58" i="1"/>
  <c r="T39" i="1" s="1"/>
  <c r="S58" i="1"/>
  <c r="S39" i="1" s="1"/>
  <c r="R58" i="1"/>
  <c r="R39" i="1" s="1"/>
  <c r="Q58" i="1"/>
  <c r="Q39" i="1" s="1"/>
  <c r="P58" i="1"/>
  <c r="P39" i="1" s="1"/>
  <c r="O58" i="1"/>
  <c r="O39" i="1" s="1"/>
  <c r="N58" i="1"/>
  <c r="N39" i="1" s="1"/>
  <c r="M58" i="1"/>
  <c r="M39" i="1" s="1"/>
  <c r="L58" i="1"/>
  <c r="L39" i="1" s="1"/>
  <c r="K58" i="1"/>
  <c r="K39" i="1" s="1"/>
  <c r="J58" i="1"/>
  <c r="J39" i="1" s="1"/>
  <c r="AD43" i="1"/>
  <c r="AC43" i="1"/>
  <c r="AF66" i="1"/>
  <c r="AB66" i="1"/>
  <c r="G66" i="1"/>
  <c r="F66" i="1" s="1"/>
  <c r="S62" i="1"/>
  <c r="R62" i="1"/>
  <c r="D57" i="1"/>
  <c r="D56" i="1"/>
  <c r="AB51" i="1"/>
  <c r="AF49" i="1"/>
  <c r="E49" i="1"/>
  <c r="AB47" i="1"/>
  <c r="AB46" i="1" s="1"/>
  <c r="G47" i="1"/>
  <c r="F47" i="1" s="1"/>
  <c r="AF45" i="1"/>
  <c r="AF46" i="1"/>
  <c r="E44" i="1"/>
  <c r="AF26" i="1"/>
  <c r="Z26" i="1"/>
  <c r="X25" i="1"/>
  <c r="AF25" i="1"/>
  <c r="AF24" i="1"/>
  <c r="R24" i="1"/>
  <c r="AF29" i="1"/>
  <c r="E16" i="1"/>
  <c r="E17" i="1"/>
  <c r="E18" i="1"/>
  <c r="E15" i="1"/>
  <c r="H59" i="1" l="1"/>
  <c r="G58" i="1"/>
  <c r="I59" i="1"/>
  <c r="E58" i="8"/>
  <c r="E56" i="8"/>
  <c r="E54" i="8"/>
  <c r="E52" i="8"/>
  <c r="E47" i="8"/>
  <c r="E46" i="8"/>
  <c r="E44" i="8"/>
  <c r="E43" i="8"/>
  <c r="E41" i="8"/>
  <c r="E39" i="8"/>
  <c r="E36" i="8"/>
  <c r="E37" i="8"/>
  <c r="E35" i="8"/>
  <c r="E32" i="8"/>
  <c r="E31" i="8"/>
  <c r="E29" i="8"/>
  <c r="E28" i="8"/>
  <c r="E26" i="8"/>
  <c r="E25" i="8"/>
  <c r="E23" i="8"/>
  <c r="E22" i="8"/>
  <c r="E15" i="8"/>
  <c r="E16" i="8"/>
  <c r="E14" i="8"/>
  <c r="E9" i="8"/>
  <c r="AB23" i="8"/>
  <c r="H58" i="1" l="1"/>
  <c r="F58" i="1"/>
  <c r="I58" i="1"/>
  <c r="J9" i="8"/>
  <c r="J10" i="8"/>
  <c r="D9" i="8"/>
  <c r="K45" i="8" l="1"/>
  <c r="K42" i="8"/>
  <c r="L42" i="8"/>
  <c r="M42" i="8"/>
  <c r="N42" i="8"/>
  <c r="O42" i="8"/>
  <c r="P42" i="8"/>
  <c r="Q42" i="8"/>
  <c r="R42" i="8"/>
  <c r="S42" i="8"/>
  <c r="T42" i="8"/>
  <c r="U42" i="8"/>
  <c r="V42" i="8"/>
  <c r="W42" i="8"/>
  <c r="X42" i="8"/>
  <c r="Y42" i="8"/>
  <c r="Z42" i="8"/>
  <c r="AA42" i="8"/>
  <c r="AB42" i="8"/>
  <c r="AC42" i="8"/>
  <c r="AD42" i="8"/>
  <c r="AE42" i="8"/>
  <c r="AF42" i="8"/>
  <c r="J42" i="8"/>
  <c r="AG11" i="8"/>
  <c r="AE11" i="8"/>
  <c r="AD11" i="8"/>
  <c r="AC11" i="8"/>
  <c r="V11" i="8"/>
  <c r="U11" i="8"/>
  <c r="T11" i="8"/>
  <c r="S11" i="8"/>
  <c r="R11" i="8"/>
  <c r="Q11" i="8"/>
  <c r="P11" i="8"/>
  <c r="O11" i="8"/>
  <c r="N11" i="8"/>
  <c r="M11" i="8"/>
  <c r="L11" i="8"/>
  <c r="K11" i="8"/>
  <c r="J11" i="8"/>
  <c r="K34" i="8"/>
  <c r="P34" i="8"/>
  <c r="Q34" i="8"/>
  <c r="T34" i="8"/>
  <c r="U34" i="8"/>
  <c r="X34" i="8"/>
  <c r="Y34" i="8"/>
  <c r="AB34" i="8"/>
  <c r="AC34" i="8"/>
  <c r="AG34" i="8"/>
  <c r="K37" i="8"/>
  <c r="L37" i="8"/>
  <c r="M37" i="8"/>
  <c r="M34" i="8" s="1"/>
  <c r="N37" i="8"/>
  <c r="N34" i="8" s="1"/>
  <c r="O37" i="8"/>
  <c r="O34" i="8" s="1"/>
  <c r="P37" i="8"/>
  <c r="Q37" i="8"/>
  <c r="R37" i="8"/>
  <c r="R34" i="8" s="1"/>
  <c r="S37" i="8"/>
  <c r="S34" i="8" s="1"/>
  <c r="T37" i="8"/>
  <c r="U37" i="8"/>
  <c r="V37" i="8"/>
  <c r="V34" i="8" s="1"/>
  <c r="W37" i="8"/>
  <c r="W34" i="8" s="1"/>
  <c r="X37" i="8"/>
  <c r="Y37" i="8"/>
  <c r="Z37" i="8"/>
  <c r="Z34" i="8" s="1"/>
  <c r="AA37" i="8"/>
  <c r="AA34" i="8" s="1"/>
  <c r="AB37" i="8"/>
  <c r="AC37" i="8"/>
  <c r="AD37" i="8"/>
  <c r="AD34" i="8" s="1"/>
  <c r="AE37" i="8"/>
  <c r="AE34" i="8" s="1"/>
  <c r="AF37" i="8"/>
  <c r="AG37" i="8"/>
  <c r="J37" i="8"/>
  <c r="J34" i="8" s="1"/>
  <c r="G44" i="8"/>
  <c r="D44" i="8"/>
  <c r="K35" i="8"/>
  <c r="L35" i="8"/>
  <c r="M35" i="8"/>
  <c r="N35" i="8"/>
  <c r="O35" i="8"/>
  <c r="P35" i="8"/>
  <c r="Q35" i="8"/>
  <c r="R35" i="8"/>
  <c r="S35" i="8"/>
  <c r="T35" i="8"/>
  <c r="U35" i="8"/>
  <c r="V35" i="8"/>
  <c r="W35" i="8"/>
  <c r="X35" i="8"/>
  <c r="Y35" i="8"/>
  <c r="Z35" i="8"/>
  <c r="AA35" i="8"/>
  <c r="AB35" i="8"/>
  <c r="AC35" i="8"/>
  <c r="AD35" i="8"/>
  <c r="AE35" i="8"/>
  <c r="AF35" i="8"/>
  <c r="AF34" i="8" s="1"/>
  <c r="AG35" i="8"/>
  <c r="K36" i="8"/>
  <c r="L36" i="8"/>
  <c r="M36" i="8"/>
  <c r="N36" i="8"/>
  <c r="O36" i="8"/>
  <c r="P36" i="8"/>
  <c r="Q36" i="8"/>
  <c r="R36" i="8"/>
  <c r="S36" i="8"/>
  <c r="T36" i="8"/>
  <c r="U36" i="8"/>
  <c r="V36" i="8"/>
  <c r="W36" i="8"/>
  <c r="X36" i="8"/>
  <c r="Y36" i="8"/>
  <c r="Z36" i="8"/>
  <c r="AA36" i="8"/>
  <c r="AB36" i="8"/>
  <c r="AC36" i="8"/>
  <c r="AD36" i="8"/>
  <c r="AE36" i="8"/>
  <c r="AF36" i="8"/>
  <c r="AG36" i="8"/>
  <c r="J35" i="8"/>
  <c r="G43" i="8"/>
  <c r="I43" i="8" s="1"/>
  <c r="F43" i="8"/>
  <c r="F42" i="8" s="1"/>
  <c r="D43" i="8"/>
  <c r="AG42" i="8"/>
  <c r="E42" i="8"/>
  <c r="G41" i="8"/>
  <c r="F41" i="8" s="1"/>
  <c r="F40" i="8" s="1"/>
  <c r="D41" i="8"/>
  <c r="AG40" i="8"/>
  <c r="AF40" i="8"/>
  <c r="AE40" i="8"/>
  <c r="AD40" i="8"/>
  <c r="AC40" i="8"/>
  <c r="AB40" i="8"/>
  <c r="AA40" i="8"/>
  <c r="Z40" i="8"/>
  <c r="Y40" i="8"/>
  <c r="X40" i="8"/>
  <c r="W40" i="8"/>
  <c r="V40" i="8"/>
  <c r="U40" i="8"/>
  <c r="T40" i="8"/>
  <c r="S40" i="8"/>
  <c r="R40" i="8"/>
  <c r="Q40" i="8"/>
  <c r="P40" i="8"/>
  <c r="O40" i="8"/>
  <c r="N40" i="8"/>
  <c r="M40" i="8"/>
  <c r="L40" i="8"/>
  <c r="K40" i="8"/>
  <c r="J40" i="8"/>
  <c r="E40" i="8"/>
  <c r="D35" i="8" l="1"/>
  <c r="D37" i="8"/>
  <c r="I44" i="8"/>
  <c r="G37" i="8"/>
  <c r="G34" i="8" s="1"/>
  <c r="L34" i="8"/>
  <c r="D42" i="8"/>
  <c r="F44" i="8"/>
  <c r="H44" i="8"/>
  <c r="E34" i="8"/>
  <c r="D40" i="8"/>
  <c r="H43" i="8"/>
  <c r="G42" i="8"/>
  <c r="I41" i="8"/>
  <c r="H41" i="8"/>
  <c r="G40" i="8"/>
  <c r="F37" i="8" l="1"/>
  <c r="F34" i="8" s="1"/>
  <c r="H37" i="8"/>
  <c r="I37" i="8"/>
  <c r="I42" i="8"/>
  <c r="H42" i="8"/>
  <c r="I40" i="8"/>
  <c r="H40" i="8"/>
  <c r="K19" i="8" l="1"/>
  <c r="L19" i="8"/>
  <c r="M19" i="8"/>
  <c r="N19" i="8"/>
  <c r="O19" i="8"/>
  <c r="P19" i="8"/>
  <c r="Q19" i="8"/>
  <c r="R19" i="8"/>
  <c r="S19" i="8"/>
  <c r="T19" i="8"/>
  <c r="U19" i="8"/>
  <c r="V19" i="8"/>
  <c r="W19" i="8"/>
  <c r="X19" i="8"/>
  <c r="Y19" i="8"/>
  <c r="Z19" i="8"/>
  <c r="E19" i="8" s="1"/>
  <c r="AA19" i="8"/>
  <c r="AB19" i="8"/>
  <c r="AC19" i="8"/>
  <c r="AD19" i="8"/>
  <c r="AE19" i="8"/>
  <c r="AF19" i="8"/>
  <c r="AG19" i="8"/>
  <c r="K20" i="8"/>
  <c r="L20" i="8"/>
  <c r="M20" i="8"/>
  <c r="N20" i="8"/>
  <c r="O20" i="8"/>
  <c r="P20" i="8"/>
  <c r="Q20" i="8"/>
  <c r="R20" i="8"/>
  <c r="S20" i="8"/>
  <c r="T20" i="8"/>
  <c r="U20" i="8"/>
  <c r="V20" i="8"/>
  <c r="W20" i="8"/>
  <c r="X20" i="8"/>
  <c r="Y20" i="8"/>
  <c r="Z20" i="8"/>
  <c r="AA20" i="8"/>
  <c r="AB20" i="8"/>
  <c r="AB11" i="8" s="1"/>
  <c r="AC20" i="8"/>
  <c r="AD20" i="8"/>
  <c r="AE20" i="8"/>
  <c r="AF20" i="8"/>
  <c r="AG20" i="8"/>
  <c r="J20" i="8"/>
  <c r="J19" i="8"/>
  <c r="G32" i="8"/>
  <c r="D32" i="8"/>
  <c r="G31" i="8"/>
  <c r="F31" i="8" s="1"/>
  <c r="E30" i="8"/>
  <c r="D31" i="8"/>
  <c r="AG30" i="8"/>
  <c r="AF30" i="8"/>
  <c r="AE30" i="8"/>
  <c r="AD30" i="8"/>
  <c r="AC30" i="8"/>
  <c r="AB30" i="8"/>
  <c r="AA30" i="8"/>
  <c r="Z30" i="8"/>
  <c r="Y30" i="8"/>
  <c r="X30" i="8"/>
  <c r="W30" i="8"/>
  <c r="V30" i="8"/>
  <c r="U30" i="8"/>
  <c r="T30" i="8"/>
  <c r="S30" i="8"/>
  <c r="R30" i="8"/>
  <c r="Q30" i="8"/>
  <c r="P30" i="8"/>
  <c r="O30" i="8"/>
  <c r="N30" i="8"/>
  <c r="M30" i="8"/>
  <c r="L30" i="8"/>
  <c r="K30" i="8"/>
  <c r="J30" i="8"/>
  <c r="E20" i="8" l="1"/>
  <c r="G30" i="8"/>
  <c r="I30" i="8" s="1"/>
  <c r="D30" i="8"/>
  <c r="I32" i="8"/>
  <c r="H31" i="8"/>
  <c r="F32" i="8"/>
  <c r="F30" i="8" s="1"/>
  <c r="I31" i="8"/>
  <c r="H32" i="8"/>
  <c r="H30" i="8" l="1"/>
  <c r="AG11" i="3"/>
  <c r="AF11" i="3"/>
  <c r="AE11" i="3"/>
  <c r="AD11" i="3"/>
  <c r="AC11" i="3"/>
  <c r="AB11" i="3"/>
  <c r="AA11" i="3"/>
  <c r="Z11" i="3"/>
  <c r="Y11" i="3"/>
  <c r="X11" i="3"/>
  <c r="W11" i="3"/>
  <c r="V11" i="3"/>
  <c r="U11" i="3"/>
  <c r="T11" i="3"/>
  <c r="S11" i="3"/>
  <c r="R11" i="3"/>
  <c r="Q11" i="3"/>
  <c r="P11" i="3"/>
  <c r="O11" i="3"/>
  <c r="N11" i="3"/>
  <c r="M11" i="3"/>
  <c r="L11" i="3"/>
  <c r="K11" i="3"/>
  <c r="J11" i="3"/>
  <c r="E11" i="3" s="1"/>
  <c r="AG10" i="3"/>
  <c r="AF10" i="3"/>
  <c r="AE10" i="3"/>
  <c r="AD10" i="3"/>
  <c r="AC10" i="3"/>
  <c r="AB10" i="3"/>
  <c r="AA10" i="3"/>
  <c r="Z10" i="3"/>
  <c r="Y10" i="3"/>
  <c r="X10" i="3"/>
  <c r="W10" i="3"/>
  <c r="V10" i="3"/>
  <c r="U10" i="3"/>
  <c r="T10" i="3"/>
  <c r="S10" i="3"/>
  <c r="R10" i="3"/>
  <c r="Q10" i="3"/>
  <c r="P10" i="3"/>
  <c r="O10" i="3"/>
  <c r="N10" i="3"/>
  <c r="M10" i="3"/>
  <c r="L10" i="3"/>
  <c r="K10" i="3"/>
  <c r="J10" i="3"/>
  <c r="E10" i="3" s="1"/>
  <c r="AG9" i="3"/>
  <c r="AF9" i="3"/>
  <c r="AE9" i="3"/>
  <c r="AD9" i="3"/>
  <c r="AC9" i="3"/>
  <c r="AB9" i="3"/>
  <c r="AA9" i="3"/>
  <c r="Z9" i="3"/>
  <c r="Y9" i="3"/>
  <c r="X9" i="3"/>
  <c r="W9" i="3"/>
  <c r="V9" i="3"/>
  <c r="U9" i="3"/>
  <c r="T9" i="3"/>
  <c r="S9" i="3"/>
  <c r="R9" i="3"/>
  <c r="Q9" i="3"/>
  <c r="P9" i="3"/>
  <c r="O9" i="3"/>
  <c r="N9" i="3"/>
  <c r="M9" i="3"/>
  <c r="L9" i="3"/>
  <c r="K9" i="3"/>
  <c r="J9" i="3"/>
  <c r="E9" i="3" s="1"/>
  <c r="G14" i="3"/>
  <c r="E8" i="3" l="1"/>
  <c r="N8" i="3"/>
  <c r="G9" i="3"/>
  <c r="R17" i="3"/>
  <c r="E17" i="3"/>
  <c r="G19" i="3"/>
  <c r="I19" i="3" s="1"/>
  <c r="G18" i="3"/>
  <c r="F18" i="3" s="1"/>
  <c r="F10" i="3" s="1"/>
  <c r="D23" i="3"/>
  <c r="G23" i="3"/>
  <c r="H23" i="3" s="1"/>
  <c r="G21" i="3"/>
  <c r="I21" i="3" s="1"/>
  <c r="D21" i="3"/>
  <c r="G16" i="3"/>
  <c r="F16" i="3" s="1"/>
  <c r="D16" i="3"/>
  <c r="H16" i="3" s="1"/>
  <c r="G15" i="3"/>
  <c r="I15" i="3" s="1"/>
  <c r="F15" i="3"/>
  <c r="D15" i="3"/>
  <c r="F14" i="3"/>
  <c r="I14" i="3"/>
  <c r="D14" i="3"/>
  <c r="H14" i="3" s="1"/>
  <c r="D19" i="3"/>
  <c r="D18" i="3"/>
  <c r="F21" i="3" l="1"/>
  <c r="G10" i="3"/>
  <c r="I16" i="3"/>
  <c r="D17" i="3"/>
  <c r="F19" i="3"/>
  <c r="G11" i="3"/>
  <c r="H18" i="3"/>
  <c r="I18" i="3"/>
  <c r="H19" i="3"/>
  <c r="F23" i="3"/>
  <c r="I23" i="3"/>
  <c r="H21" i="3"/>
  <c r="H15" i="3"/>
  <c r="F11" i="3" l="1"/>
  <c r="F17" i="3"/>
  <c r="E22" i="3"/>
  <c r="G22" i="3"/>
  <c r="J13" i="3" l="1"/>
  <c r="K13" i="3"/>
  <c r="L13" i="3"/>
  <c r="M13" i="3"/>
  <c r="N13" i="3"/>
  <c r="O13" i="3"/>
  <c r="P13" i="3"/>
  <c r="Q13" i="3"/>
  <c r="R13" i="3"/>
  <c r="S13" i="3"/>
  <c r="T13" i="3"/>
  <c r="U13" i="3"/>
  <c r="V13" i="3"/>
  <c r="W13" i="3"/>
  <c r="X13" i="3"/>
  <c r="Y13" i="3"/>
  <c r="Z13" i="3"/>
  <c r="AA13" i="3"/>
  <c r="AB13" i="3"/>
  <c r="AC13" i="3"/>
  <c r="AD13" i="3"/>
  <c r="AE13" i="3"/>
  <c r="AF13" i="3"/>
  <c r="AG13" i="3"/>
  <c r="D13" i="3"/>
  <c r="J17" i="3"/>
  <c r="K17" i="3"/>
  <c r="L17" i="3"/>
  <c r="M17" i="3"/>
  <c r="N17" i="3"/>
  <c r="O17" i="3"/>
  <c r="P17" i="3"/>
  <c r="Q17" i="3"/>
  <c r="S17" i="3"/>
  <c r="T17" i="3"/>
  <c r="U17" i="3"/>
  <c r="V17" i="3"/>
  <c r="W17" i="3"/>
  <c r="X17" i="3"/>
  <c r="Y17" i="3"/>
  <c r="Z17" i="3"/>
  <c r="AA17" i="3"/>
  <c r="AB17" i="3"/>
  <c r="AC17" i="3"/>
  <c r="AD17" i="3"/>
  <c r="AE17" i="3"/>
  <c r="AF17" i="3"/>
  <c r="AG17" i="3"/>
  <c r="E20" i="3"/>
  <c r="J20" i="3"/>
  <c r="K20" i="3"/>
  <c r="L20" i="3"/>
  <c r="M20" i="3"/>
  <c r="N20" i="3"/>
  <c r="O20" i="3"/>
  <c r="P20" i="3"/>
  <c r="Q20" i="3"/>
  <c r="R20" i="3"/>
  <c r="S20" i="3"/>
  <c r="T20" i="3"/>
  <c r="U20" i="3"/>
  <c r="V20" i="3"/>
  <c r="W20" i="3"/>
  <c r="X20" i="3"/>
  <c r="Y20" i="3"/>
  <c r="Z20" i="3"/>
  <c r="AA20" i="3"/>
  <c r="AB20" i="3"/>
  <c r="AC20" i="3"/>
  <c r="AD20" i="3"/>
  <c r="AE20" i="3"/>
  <c r="AF20" i="3"/>
  <c r="AG20" i="3"/>
  <c r="D20" i="3"/>
  <c r="J22" i="3"/>
  <c r="K22" i="3"/>
  <c r="L22" i="3"/>
  <c r="D22" i="3" s="1"/>
  <c r="M22" i="3"/>
  <c r="N22" i="3"/>
  <c r="O22" i="3"/>
  <c r="P22" i="3"/>
  <c r="R22" i="3"/>
  <c r="S22" i="3"/>
  <c r="T22" i="3"/>
  <c r="V22" i="3"/>
  <c r="W22" i="3"/>
  <c r="X22" i="3"/>
  <c r="Y22" i="3"/>
  <c r="Z22" i="3"/>
  <c r="AA22" i="3"/>
  <c r="AB22" i="3"/>
  <c r="AC22" i="3"/>
  <c r="AD22" i="3"/>
  <c r="AE22" i="3"/>
  <c r="AF22" i="3"/>
  <c r="AG22" i="3"/>
  <c r="J25" i="3"/>
  <c r="K25" i="3"/>
  <c r="L25" i="3"/>
  <c r="M25" i="3"/>
  <c r="N25" i="3"/>
  <c r="O25" i="3"/>
  <c r="P25" i="3"/>
  <c r="Q25" i="3"/>
  <c r="R25" i="3"/>
  <c r="S25" i="3"/>
  <c r="T25" i="3"/>
  <c r="U25" i="3"/>
  <c r="V25" i="3"/>
  <c r="W25" i="3"/>
  <c r="X25" i="3"/>
  <c r="Y25" i="3"/>
  <c r="Z25" i="3"/>
  <c r="AA25" i="3"/>
  <c r="AB25" i="3"/>
  <c r="AC25" i="3"/>
  <c r="AD25" i="3"/>
  <c r="AE25" i="3"/>
  <c r="AF25" i="3"/>
  <c r="AG25" i="3"/>
  <c r="D26" i="3"/>
  <c r="D25" i="3" s="1"/>
  <c r="E26" i="3"/>
  <c r="G26" i="3"/>
  <c r="H26" i="3" s="1"/>
  <c r="D27" i="3"/>
  <c r="H27" i="3" s="1"/>
  <c r="E27" i="3"/>
  <c r="E25" i="3" s="1"/>
  <c r="G27" i="3"/>
  <c r="F27" i="3" s="1"/>
  <c r="I27" i="3"/>
  <c r="V8" i="3" l="1"/>
  <c r="R8" i="3"/>
  <c r="J8" i="3"/>
  <c r="AG8" i="3"/>
  <c r="AC8" i="3"/>
  <c r="Y8" i="3"/>
  <c r="U8" i="3"/>
  <c r="Q8" i="3"/>
  <c r="M8" i="3"/>
  <c r="Z8" i="3"/>
  <c r="D10" i="3"/>
  <c r="AF8" i="3"/>
  <c r="AB8" i="3"/>
  <c r="X8" i="3"/>
  <c r="T8" i="3"/>
  <c r="P8" i="3"/>
  <c r="L8" i="3"/>
  <c r="D11" i="3"/>
  <c r="AD8" i="3"/>
  <c r="AE8" i="3"/>
  <c r="AA8" i="3"/>
  <c r="W8" i="3"/>
  <c r="S8" i="3"/>
  <c r="O8" i="3"/>
  <c r="K8" i="3"/>
  <c r="G17" i="3"/>
  <c r="F26" i="3"/>
  <c r="F22" i="3"/>
  <c r="F20" i="3"/>
  <c r="D9" i="3"/>
  <c r="I26" i="3"/>
  <c r="G25" i="3"/>
  <c r="G20" i="3"/>
  <c r="E13" i="3"/>
  <c r="G13" i="3"/>
  <c r="G13" i="7"/>
  <c r="F13" i="7"/>
  <c r="D15" i="7"/>
  <c r="D13" i="7"/>
  <c r="H10" i="7"/>
  <c r="H9" i="7"/>
  <c r="G9" i="7"/>
  <c r="F9" i="7"/>
  <c r="D9" i="7"/>
  <c r="D10" i="7"/>
  <c r="E10" i="7"/>
  <c r="F10" i="7"/>
  <c r="G10" i="7"/>
  <c r="D8" i="3" l="1"/>
  <c r="I11" i="3"/>
  <c r="H11" i="3"/>
  <c r="H20" i="3"/>
  <c r="I20" i="3"/>
  <c r="H10" i="3"/>
  <c r="I10" i="3"/>
  <c r="I25" i="3"/>
  <c r="H25" i="3"/>
  <c r="H17" i="3"/>
  <c r="I17" i="3"/>
  <c r="H13" i="3"/>
  <c r="I13" i="3"/>
  <c r="I22" i="3"/>
  <c r="H22" i="3"/>
  <c r="G8" i="3"/>
  <c r="H9" i="3"/>
  <c r="I9" i="3"/>
  <c r="F13" i="3"/>
  <c r="F25" i="3"/>
  <c r="G39" i="17"/>
  <c r="F39" i="17" s="1"/>
  <c r="F38" i="17" s="1"/>
  <c r="E39" i="17"/>
  <c r="I39" i="17" s="1"/>
  <c r="D39" i="17"/>
  <c r="H39" i="17" s="1"/>
  <c r="AG38" i="17"/>
  <c r="AF38" i="17"/>
  <c r="AE38" i="17"/>
  <c r="AD38" i="17"/>
  <c r="AC38" i="17"/>
  <c r="AB38" i="17"/>
  <c r="AA38" i="17"/>
  <c r="Z38" i="17"/>
  <c r="Y38" i="17"/>
  <c r="X38" i="17"/>
  <c r="W38" i="17"/>
  <c r="V38" i="17"/>
  <c r="U38" i="17"/>
  <c r="T38" i="17"/>
  <c r="S38" i="17"/>
  <c r="R38" i="17"/>
  <c r="Q38" i="17"/>
  <c r="P38" i="17"/>
  <c r="O38" i="17"/>
  <c r="N38" i="17"/>
  <c r="M38" i="17"/>
  <c r="L38" i="17"/>
  <c r="K38" i="17"/>
  <c r="J38" i="17"/>
  <c r="G38" i="17"/>
  <c r="S37" i="17"/>
  <c r="S28" i="17" s="1"/>
  <c r="S27" i="17" s="1"/>
  <c r="E37" i="17"/>
  <c r="E36" i="17" s="1"/>
  <c r="D37" i="17"/>
  <c r="AG36" i="17"/>
  <c r="AF36" i="17"/>
  <c r="AE36" i="17"/>
  <c r="AD36" i="17"/>
  <c r="AC36" i="17"/>
  <c r="AB36" i="17"/>
  <c r="AA36" i="17"/>
  <c r="Z36" i="17"/>
  <c r="Y36" i="17"/>
  <c r="X36" i="17"/>
  <c r="W36" i="17"/>
  <c r="V36" i="17"/>
  <c r="U36" i="17"/>
  <c r="T36" i="17"/>
  <c r="S36" i="17"/>
  <c r="R36" i="17"/>
  <c r="Q36" i="17"/>
  <c r="P36" i="17"/>
  <c r="O36" i="17"/>
  <c r="N36" i="17"/>
  <c r="M36" i="17"/>
  <c r="L36" i="17"/>
  <c r="K36" i="17"/>
  <c r="J36" i="17"/>
  <c r="D36" i="17"/>
  <c r="G35" i="17"/>
  <c r="F35" i="17"/>
  <c r="E35" i="17"/>
  <c r="I35" i="17" s="1"/>
  <c r="D35" i="17"/>
  <c r="D32" i="17" s="1"/>
  <c r="G33" i="17"/>
  <c r="F33" i="17" s="1"/>
  <c r="F32" i="17" s="1"/>
  <c r="E33" i="17"/>
  <c r="D33" i="17"/>
  <c r="AG32" i="17"/>
  <c r="AF32" i="17"/>
  <c r="AE32" i="17"/>
  <c r="AD32" i="17"/>
  <c r="AC32" i="17"/>
  <c r="AB32" i="17"/>
  <c r="AA32" i="17"/>
  <c r="Z32" i="17"/>
  <c r="Y32" i="17"/>
  <c r="X32" i="17"/>
  <c r="W32" i="17"/>
  <c r="V32" i="17"/>
  <c r="U32" i="17"/>
  <c r="T32" i="17"/>
  <c r="S32" i="17"/>
  <c r="R32" i="17"/>
  <c r="Q32" i="17"/>
  <c r="P32" i="17"/>
  <c r="O32" i="17"/>
  <c r="N32" i="17"/>
  <c r="M32" i="17"/>
  <c r="L32" i="17"/>
  <c r="K32" i="17"/>
  <c r="J32" i="17"/>
  <c r="G32" i="17"/>
  <c r="I32" i="17" s="1"/>
  <c r="E32" i="17"/>
  <c r="G31" i="17"/>
  <c r="I31" i="17" s="1"/>
  <c r="E31" i="17"/>
  <c r="E28" i="17" s="1"/>
  <c r="D31" i="17"/>
  <c r="AG30" i="17"/>
  <c r="AF30" i="17"/>
  <c r="AE30" i="17"/>
  <c r="AD30" i="17"/>
  <c r="AC30" i="17"/>
  <c r="AB30" i="17"/>
  <c r="AA30" i="17"/>
  <c r="Z30" i="17"/>
  <c r="Y30" i="17"/>
  <c r="X30" i="17"/>
  <c r="W30" i="17"/>
  <c r="V30" i="17"/>
  <c r="U30" i="17"/>
  <c r="T30" i="17"/>
  <c r="S30" i="17"/>
  <c r="R30" i="17"/>
  <c r="Q30" i="17"/>
  <c r="P30" i="17"/>
  <c r="O30" i="17"/>
  <c r="N30" i="17"/>
  <c r="M30" i="17"/>
  <c r="L30" i="17"/>
  <c r="K30" i="17"/>
  <c r="J30" i="17"/>
  <c r="D30" i="17"/>
  <c r="AG29" i="17"/>
  <c r="AF29" i="17"/>
  <c r="AE29" i="17"/>
  <c r="AD29" i="17"/>
  <c r="AC29" i="17"/>
  <c r="AB29" i="17"/>
  <c r="AA29" i="17"/>
  <c r="Z29" i="17"/>
  <c r="Y29" i="17"/>
  <c r="X29" i="17"/>
  <c r="W29" i="17"/>
  <c r="V29" i="17"/>
  <c r="U29" i="17"/>
  <c r="T29" i="17"/>
  <c r="S29" i="17"/>
  <c r="R29" i="17"/>
  <c r="Q29" i="17"/>
  <c r="P29" i="17"/>
  <c r="O29" i="17"/>
  <c r="N29" i="17"/>
  <c r="M29" i="17"/>
  <c r="L29" i="17"/>
  <c r="K29" i="17"/>
  <c r="J29" i="17"/>
  <c r="E29" i="17" s="1"/>
  <c r="I29" i="17" s="1"/>
  <c r="G29" i="17"/>
  <c r="F29" i="17"/>
  <c r="AG28" i="17"/>
  <c r="AG27" i="17" s="1"/>
  <c r="AF28" i="17"/>
  <c r="AF27" i="17" s="1"/>
  <c r="AE28" i="17"/>
  <c r="AE27" i="17" s="1"/>
  <c r="AD28" i="17"/>
  <c r="AC28" i="17"/>
  <c r="AB28" i="17"/>
  <c r="AB27" i="17" s="1"/>
  <c r="AA28" i="17"/>
  <c r="Z28" i="17"/>
  <c r="Y28" i="17"/>
  <c r="Y27" i="17" s="1"/>
  <c r="X28" i="17"/>
  <c r="X27" i="17" s="1"/>
  <c r="W28" i="17"/>
  <c r="W27" i="17" s="1"/>
  <c r="V28" i="17"/>
  <c r="U28" i="17"/>
  <c r="T28" i="17"/>
  <c r="T27" i="17" s="1"/>
  <c r="R28" i="17"/>
  <c r="Q28" i="17"/>
  <c r="Q27" i="17" s="1"/>
  <c r="P28" i="17"/>
  <c r="P27" i="17" s="1"/>
  <c r="O28" i="17"/>
  <c r="O27" i="17" s="1"/>
  <c r="N28" i="17"/>
  <c r="M28" i="17"/>
  <c r="L28" i="17"/>
  <c r="L27" i="17" s="1"/>
  <c r="K28" i="17"/>
  <c r="J28" i="17"/>
  <c r="D28" i="17"/>
  <c r="AD27" i="17"/>
  <c r="AC27" i="17"/>
  <c r="AA27" i="17"/>
  <c r="Z27" i="17"/>
  <c r="V27" i="17"/>
  <c r="U27" i="17"/>
  <c r="R27" i="17"/>
  <c r="N27" i="17"/>
  <c r="M27" i="17"/>
  <c r="K27" i="17"/>
  <c r="J27" i="17"/>
  <c r="G25" i="17"/>
  <c r="F25" i="17" s="1"/>
  <c r="E25" i="17"/>
  <c r="I25" i="17" s="1"/>
  <c r="D25" i="17"/>
  <c r="H25" i="17" s="1"/>
  <c r="AG24" i="17"/>
  <c r="AG22" i="17" s="1"/>
  <c r="AG9" i="17" s="1"/>
  <c r="AG8" i="17" s="1"/>
  <c r="AF24" i="17"/>
  <c r="AE24" i="17"/>
  <c r="AD24" i="17"/>
  <c r="AC24" i="17"/>
  <c r="AB24" i="17"/>
  <c r="AA24" i="17"/>
  <c r="AA22" i="17" s="1"/>
  <c r="Z24" i="17"/>
  <c r="Y24" i="17"/>
  <c r="Y22" i="17" s="1"/>
  <c r="Y9" i="17" s="1"/>
  <c r="Y8" i="17" s="1"/>
  <c r="X24" i="17"/>
  <c r="W24" i="17"/>
  <c r="V24" i="17"/>
  <c r="U24" i="17"/>
  <c r="T24" i="17"/>
  <c r="S24" i="17"/>
  <c r="R24" i="17"/>
  <c r="Q24" i="17"/>
  <c r="Q22" i="17" s="1"/>
  <c r="P24" i="17"/>
  <c r="O24" i="17"/>
  <c r="N24" i="17"/>
  <c r="M24" i="17"/>
  <c r="L24" i="17"/>
  <c r="K24" i="17"/>
  <c r="J24" i="17"/>
  <c r="G24" i="17"/>
  <c r="AG23" i="17"/>
  <c r="AF23" i="17"/>
  <c r="AE23" i="17"/>
  <c r="AD23" i="17"/>
  <c r="AC23" i="17"/>
  <c r="AB23" i="17"/>
  <c r="AA23" i="17"/>
  <c r="Z23" i="17"/>
  <c r="Y23" i="17"/>
  <c r="X23" i="17"/>
  <c r="W23" i="17"/>
  <c r="V23" i="17"/>
  <c r="U23" i="17"/>
  <c r="T23" i="17"/>
  <c r="S23" i="17"/>
  <c r="R23" i="17"/>
  <c r="Q23" i="17"/>
  <c r="P23" i="17"/>
  <c r="O23" i="17"/>
  <c r="N23" i="17"/>
  <c r="M23" i="17"/>
  <c r="L23" i="17"/>
  <c r="K23" i="17"/>
  <c r="J23" i="17"/>
  <c r="G23" i="17"/>
  <c r="I23" i="17" s="1"/>
  <c r="E23" i="17"/>
  <c r="D23" i="17"/>
  <c r="AF22" i="17"/>
  <c r="AE22" i="17"/>
  <c r="AD22" i="17"/>
  <c r="AC22" i="17"/>
  <c r="AB22" i="17"/>
  <c r="Z22" i="17"/>
  <c r="X22" i="17"/>
  <c r="W22" i="17"/>
  <c r="V22" i="17"/>
  <c r="U22" i="17"/>
  <c r="T22" i="17"/>
  <c r="S22" i="17"/>
  <c r="R22" i="17"/>
  <c r="P22" i="17"/>
  <c r="O22" i="17"/>
  <c r="N22" i="17"/>
  <c r="M22" i="17"/>
  <c r="L22" i="17"/>
  <c r="K22" i="17"/>
  <c r="J22" i="17"/>
  <c r="G22" i="17"/>
  <c r="G20" i="17"/>
  <c r="F20" i="17" s="1"/>
  <c r="E20" i="17"/>
  <c r="I20" i="17" s="1"/>
  <c r="D20" i="17"/>
  <c r="H20" i="17" s="1"/>
  <c r="Q19" i="17"/>
  <c r="G19" i="17" s="1"/>
  <c r="E19" i="17"/>
  <c r="D19" i="17"/>
  <c r="D18" i="17" s="1"/>
  <c r="AG18" i="17"/>
  <c r="AF18" i="17"/>
  <c r="AE18" i="17"/>
  <c r="AD18" i="17"/>
  <c r="AC18" i="17"/>
  <c r="AB18" i="17"/>
  <c r="AA18" i="17"/>
  <c r="Z18" i="17"/>
  <c r="Y18" i="17"/>
  <c r="X18" i="17"/>
  <c r="W18" i="17"/>
  <c r="V18" i="17"/>
  <c r="U18" i="17"/>
  <c r="T18" i="17"/>
  <c r="S18" i="17"/>
  <c r="R18" i="17"/>
  <c r="P18" i="17"/>
  <c r="O18" i="17"/>
  <c r="N18" i="17"/>
  <c r="M18" i="17"/>
  <c r="L18" i="17"/>
  <c r="K18" i="17"/>
  <c r="J18" i="17"/>
  <c r="E18" i="17"/>
  <c r="G17" i="17"/>
  <c r="G15" i="17" s="1"/>
  <c r="F17" i="17"/>
  <c r="E17" i="17"/>
  <c r="D17" i="17"/>
  <c r="D14" i="17" s="1"/>
  <c r="G16" i="17"/>
  <c r="F16" i="17"/>
  <c r="F15" i="17" s="1"/>
  <c r="E16" i="17"/>
  <c r="I16" i="17" s="1"/>
  <c r="D16" i="17"/>
  <c r="H16" i="17" s="1"/>
  <c r="AG15" i="17"/>
  <c r="AF15" i="17"/>
  <c r="AF12" i="17" s="1"/>
  <c r="AF9" i="17" s="1"/>
  <c r="AF8" i="17" s="1"/>
  <c r="AE15" i="17"/>
  <c r="AE12" i="17" s="1"/>
  <c r="AE9" i="17" s="1"/>
  <c r="AE8" i="17" s="1"/>
  <c r="AD15" i="17"/>
  <c r="AC15" i="17"/>
  <c r="AB15" i="17"/>
  <c r="AA15" i="17"/>
  <c r="AA12" i="17" s="1"/>
  <c r="AA9" i="17" s="1"/>
  <c r="AA8" i="17" s="1"/>
  <c r="Z15" i="17"/>
  <c r="Z12" i="17" s="1"/>
  <c r="Z9" i="17" s="1"/>
  <c r="Z8" i="17" s="1"/>
  <c r="Y15" i="17"/>
  <c r="X15" i="17"/>
  <c r="X12" i="17" s="1"/>
  <c r="X9" i="17" s="1"/>
  <c r="X8" i="17" s="1"/>
  <c r="W15" i="17"/>
  <c r="W12" i="17" s="1"/>
  <c r="W9" i="17" s="1"/>
  <c r="W8" i="17" s="1"/>
  <c r="V15" i="17"/>
  <c r="U15" i="17"/>
  <c r="T15" i="17"/>
  <c r="S15" i="17"/>
  <c r="S12" i="17" s="1"/>
  <c r="S9" i="17" s="1"/>
  <c r="S8" i="17" s="1"/>
  <c r="R15" i="17"/>
  <c r="R12" i="17" s="1"/>
  <c r="R9" i="17" s="1"/>
  <c r="R8" i="17" s="1"/>
  <c r="Q15" i="17"/>
  <c r="P15" i="17"/>
  <c r="P12" i="17" s="1"/>
  <c r="P9" i="17" s="1"/>
  <c r="P8" i="17" s="1"/>
  <c r="O15" i="17"/>
  <c r="O12" i="17" s="1"/>
  <c r="O9" i="17" s="1"/>
  <c r="O8" i="17" s="1"/>
  <c r="N15" i="17"/>
  <c r="M15" i="17"/>
  <c r="L15" i="17"/>
  <c r="K15" i="17"/>
  <c r="K12" i="17" s="1"/>
  <c r="K9" i="17" s="1"/>
  <c r="K8" i="17" s="1"/>
  <c r="J15" i="17"/>
  <c r="J12" i="17" s="1"/>
  <c r="J9" i="17" s="1"/>
  <c r="AG14" i="17"/>
  <c r="AG10" i="17" s="1"/>
  <c r="AF14" i="17"/>
  <c r="AF10" i="17" s="1"/>
  <c r="AE14" i="17"/>
  <c r="AD14" i="17"/>
  <c r="AD10" i="17" s="1"/>
  <c r="AD8" i="17" s="1"/>
  <c r="AC14" i="17"/>
  <c r="AC10" i="17" s="1"/>
  <c r="AB14" i="17"/>
  <c r="AA14" i="17"/>
  <c r="Z14" i="17"/>
  <c r="Y14" i="17"/>
  <c r="Y10" i="17" s="1"/>
  <c r="X14" i="17"/>
  <c r="X10" i="17" s="1"/>
  <c r="W14" i="17"/>
  <c r="V14" i="17"/>
  <c r="V10" i="17" s="1"/>
  <c r="V8" i="17" s="1"/>
  <c r="U14" i="17"/>
  <c r="U10" i="17" s="1"/>
  <c r="T14" i="17"/>
  <c r="S14" i="17"/>
  <c r="R14" i="17"/>
  <c r="Q14" i="17"/>
  <c r="Q10" i="17" s="1"/>
  <c r="P14" i="17"/>
  <c r="P10" i="17" s="1"/>
  <c r="O14" i="17"/>
  <c r="N14" i="17"/>
  <c r="N10" i="17" s="1"/>
  <c r="N8" i="17" s="1"/>
  <c r="M14" i="17"/>
  <c r="M10" i="17" s="1"/>
  <c r="L14" i="17"/>
  <c r="K14" i="17"/>
  <c r="J14" i="17"/>
  <c r="E14" i="17"/>
  <c r="AG13" i="17"/>
  <c r="AF13" i="17"/>
  <c r="AE13" i="17"/>
  <c r="AD13" i="17"/>
  <c r="AC13" i="17"/>
  <c r="AB13" i="17"/>
  <c r="AA13" i="17"/>
  <c r="Z13" i="17"/>
  <c r="Y13" i="17"/>
  <c r="X13" i="17"/>
  <c r="W13" i="17"/>
  <c r="V13" i="17"/>
  <c r="U13" i="17"/>
  <c r="T13" i="17"/>
  <c r="S13" i="17"/>
  <c r="R13" i="17"/>
  <c r="P13" i="17"/>
  <c r="O13" i="17"/>
  <c r="N13" i="17"/>
  <c r="M13" i="17"/>
  <c r="L13" i="17"/>
  <c r="K13" i="17"/>
  <c r="J13" i="17"/>
  <c r="AG12" i="17"/>
  <c r="AD12" i="17"/>
  <c r="AC12" i="17"/>
  <c r="AC9" i="17" s="1"/>
  <c r="AC8" i="17" s="1"/>
  <c r="AB12" i="17"/>
  <c r="AB9" i="17" s="1"/>
  <c r="AB8" i="17" s="1"/>
  <c r="Y12" i="17"/>
  <c r="V12" i="17"/>
  <c r="U12" i="17"/>
  <c r="U9" i="17" s="1"/>
  <c r="U8" i="17" s="1"/>
  <c r="T12" i="17"/>
  <c r="T9" i="17" s="1"/>
  <c r="T8" i="17" s="1"/>
  <c r="N12" i="17"/>
  <c r="M12" i="17"/>
  <c r="M9" i="17" s="1"/>
  <c r="M8" i="17" s="1"/>
  <c r="L12" i="17"/>
  <c r="L9" i="17" s="1"/>
  <c r="L8" i="17" s="1"/>
  <c r="AE10" i="17"/>
  <c r="AB10" i="17"/>
  <c r="AA10" i="17"/>
  <c r="Z10" i="17"/>
  <c r="W10" i="17"/>
  <c r="T10" i="17"/>
  <c r="S10" i="17"/>
  <c r="R10" i="17"/>
  <c r="O10" i="17"/>
  <c r="L10" i="17"/>
  <c r="K10" i="17"/>
  <c r="J10" i="17"/>
  <c r="AD9" i="17"/>
  <c r="V9" i="17"/>
  <c r="N9" i="17"/>
  <c r="F8" i="3" l="1"/>
  <c r="H8" i="3"/>
  <c r="I8" i="3"/>
  <c r="D9" i="17"/>
  <c r="J8" i="17"/>
  <c r="D8" i="17" s="1"/>
  <c r="E9" i="17"/>
  <c r="E8" i="17" s="1"/>
  <c r="F14" i="17"/>
  <c r="F10" i="17" s="1"/>
  <c r="E10" i="17"/>
  <c r="F24" i="17"/>
  <c r="F22" i="17" s="1"/>
  <c r="F23" i="17"/>
  <c r="E27" i="17"/>
  <c r="D27" i="17"/>
  <c r="F19" i="17"/>
  <c r="G13" i="17"/>
  <c r="I19" i="17"/>
  <c r="G18" i="17"/>
  <c r="H19" i="17"/>
  <c r="D13" i="17"/>
  <c r="E13" i="17"/>
  <c r="G14" i="17"/>
  <c r="I33" i="17"/>
  <c r="G37" i="17"/>
  <c r="Q18" i="17"/>
  <c r="Q12" i="17" s="1"/>
  <c r="Q9" i="17" s="1"/>
  <c r="Q8" i="17" s="1"/>
  <c r="H23" i="17"/>
  <c r="F31" i="17"/>
  <c r="H32" i="17"/>
  <c r="D15" i="17"/>
  <c r="D12" i="17" s="1"/>
  <c r="E30" i="17"/>
  <c r="D10" i="17"/>
  <c r="H17" i="17"/>
  <c r="Q13" i="17"/>
  <c r="E15" i="17"/>
  <c r="E12" i="17" s="1"/>
  <c r="I17" i="17"/>
  <c r="D24" i="17"/>
  <c r="D22" i="17" s="1"/>
  <c r="H22" i="17" s="1"/>
  <c r="D29" i="17"/>
  <c r="H29" i="17" s="1"/>
  <c r="H31" i="17"/>
  <c r="D38" i="17"/>
  <c r="H38" i="17" s="1"/>
  <c r="E24" i="17"/>
  <c r="G30" i="17"/>
  <c r="H35" i="17"/>
  <c r="E38" i="17"/>
  <c r="I38" i="17" s="1"/>
  <c r="I30" i="17" l="1"/>
  <c r="H30" i="17"/>
  <c r="E22" i="17"/>
  <c r="I22" i="17" s="1"/>
  <c r="I24" i="17"/>
  <c r="H18" i="17"/>
  <c r="I18" i="17"/>
  <c r="I15" i="17"/>
  <c r="F30" i="17"/>
  <c r="F28" i="17"/>
  <c r="F27" i="17" s="1"/>
  <c r="F37" i="17"/>
  <c r="F36" i="17" s="1"/>
  <c r="H37" i="17"/>
  <c r="G28" i="17"/>
  <c r="I37" i="17"/>
  <c r="G36" i="17"/>
  <c r="H24" i="17"/>
  <c r="G12" i="17"/>
  <c r="I13" i="17"/>
  <c r="H13" i="17"/>
  <c r="H15" i="17"/>
  <c r="H14" i="17"/>
  <c r="I14" i="17"/>
  <c r="G10" i="17"/>
  <c r="F18" i="17"/>
  <c r="F12" i="17" s="1"/>
  <c r="F13" i="17"/>
  <c r="I10" i="17" l="1"/>
  <c r="H10" i="17"/>
  <c r="I12" i="17"/>
  <c r="H12" i="17"/>
  <c r="I36" i="17"/>
  <c r="H36" i="17"/>
  <c r="I28" i="17"/>
  <c r="G27" i="17"/>
  <c r="H28" i="17"/>
  <c r="G9" i="17"/>
  <c r="I27" i="17" l="1"/>
  <c r="H27" i="17"/>
  <c r="F9" i="17"/>
  <c r="F8" i="17" s="1"/>
  <c r="G8" i="17"/>
  <c r="I9" i="17"/>
  <c r="H9" i="17"/>
  <c r="H8" i="17" l="1"/>
  <c r="I8" i="17"/>
  <c r="D45" i="16" l="1"/>
  <c r="D44" i="16" s="1"/>
  <c r="F21" i="18" l="1"/>
  <c r="E12" i="18"/>
  <c r="E14" i="18"/>
  <c r="E16" i="18"/>
  <c r="E18" i="18"/>
  <c r="F23" i="18"/>
  <c r="E23" i="18"/>
  <c r="E21" i="18"/>
  <c r="E32" i="18"/>
  <c r="G27" i="18"/>
  <c r="Z45" i="1" l="1"/>
  <c r="AF43" i="1"/>
  <c r="AB43" i="1"/>
  <c r="Z43" i="1"/>
  <c r="P25" i="1"/>
  <c r="E25" i="1" s="1"/>
  <c r="G26" i="1"/>
  <c r="F26" i="1" s="1"/>
  <c r="G31" i="1"/>
  <c r="D25" i="1" l="1"/>
  <c r="X29" i="1"/>
  <c r="G29" i="1"/>
  <c r="AA11" i="10" l="1"/>
  <c r="AA10" i="10"/>
  <c r="AA9" i="10"/>
  <c r="AA16" i="10"/>
  <c r="AA18" i="10"/>
  <c r="AA8" i="10" l="1"/>
  <c r="G57" i="16"/>
  <c r="T10" i="2" l="1"/>
  <c r="T11" i="2"/>
  <c r="G14" i="2"/>
  <c r="F14" i="2" s="1"/>
  <c r="F15" i="2"/>
  <c r="G18" i="2"/>
  <c r="F18" i="2" s="1"/>
  <c r="F9" i="2" s="1"/>
  <c r="K10" i="2"/>
  <c r="D14" i="2"/>
  <c r="D10" i="2" s="1"/>
  <c r="E17" i="16" l="1"/>
  <c r="E25" i="16"/>
  <c r="F25" i="16"/>
  <c r="E43" i="16"/>
  <c r="E46" i="16"/>
  <c r="E50" i="16"/>
  <c r="E52" i="16"/>
  <c r="AA55" i="16"/>
  <c r="AA56" i="16"/>
  <c r="AA25" i="16"/>
  <c r="E44" i="16" l="1"/>
  <c r="G13" i="12"/>
  <c r="G12" i="12" s="1"/>
  <c r="E12" i="12"/>
  <c r="D13" i="12"/>
  <c r="D15" i="12"/>
  <c r="F13" i="12" l="1"/>
  <c r="G17" i="20"/>
  <c r="E16" i="20"/>
  <c r="E17" i="20"/>
  <c r="G20" i="20"/>
  <c r="F20" i="20" s="1"/>
  <c r="E20" i="20"/>
  <c r="AA13" i="20"/>
  <c r="G22" i="20"/>
  <c r="F22" i="20" s="1"/>
  <c r="E22" i="20"/>
  <c r="E19" i="13" l="1"/>
  <c r="E17" i="13"/>
  <c r="E12" i="13"/>
  <c r="E44" i="14" l="1"/>
  <c r="E40" i="14"/>
  <c r="E39" i="14"/>
  <c r="E37" i="14"/>
  <c r="E34" i="14"/>
  <c r="E31" i="14"/>
  <c r="E28" i="14"/>
  <c r="E27" i="14"/>
  <c r="E21" i="14"/>
  <c r="E20" i="14"/>
  <c r="E16" i="14"/>
  <c r="O24" i="14" l="1"/>
  <c r="M25" i="14" l="1"/>
  <c r="K25" i="14"/>
  <c r="Y25" i="16" l="1"/>
  <c r="G35" i="10" l="1"/>
  <c r="F35" i="10" s="1"/>
  <c r="E32" i="10"/>
  <c r="E23" i="10"/>
  <c r="G17" i="10"/>
  <c r="F17" i="10" s="1"/>
  <c r="E33" i="4" l="1"/>
  <c r="E32" i="4"/>
  <c r="E31" i="4"/>
  <c r="R65" i="4"/>
  <c r="E89" i="4"/>
  <c r="E92" i="4" l="1"/>
  <c r="E76" i="4"/>
  <c r="E75" i="4"/>
  <c r="E62" i="4"/>
  <c r="E60" i="4"/>
  <c r="E59" i="4"/>
  <c r="E81" i="4"/>
  <c r="E49" i="4"/>
  <c r="E48" i="4"/>
  <c r="E57" i="4"/>
  <c r="E55" i="4"/>
  <c r="E53" i="4"/>
  <c r="E51" i="4"/>
  <c r="E44" i="4"/>
  <c r="E42" i="4"/>
  <c r="E41" i="4"/>
  <c r="E28" i="4"/>
  <c r="E29" i="4"/>
  <c r="E21" i="4"/>
  <c r="E20" i="4"/>
  <c r="E19" i="4"/>
  <c r="E25" i="4"/>
  <c r="E24" i="4"/>
  <c r="G24" i="4"/>
  <c r="G20" i="4"/>
  <c r="D21" i="4"/>
  <c r="Y55" i="16" l="1"/>
  <c r="W55" i="16"/>
  <c r="Y56" i="16"/>
  <c r="E51" i="16" l="1"/>
  <c r="D52" i="16"/>
  <c r="F13" i="2" l="1"/>
  <c r="E10" i="2"/>
  <c r="E9" i="2"/>
  <c r="H10" i="9" l="1"/>
  <c r="I10" i="9"/>
  <c r="D14" i="10" l="1"/>
  <c r="D15" i="10"/>
  <c r="D17" i="10"/>
  <c r="D20" i="10"/>
  <c r="D22" i="10"/>
  <c r="D24" i="10"/>
  <c r="D26" i="10"/>
  <c r="D29" i="10"/>
  <c r="D31" i="10"/>
  <c r="G38" i="10"/>
  <c r="G29" i="10"/>
  <c r="G26" i="10"/>
  <c r="G24" i="10"/>
  <c r="G19" i="10"/>
  <c r="G20" i="10"/>
  <c r="G15" i="10"/>
  <c r="F15" i="10"/>
  <c r="G14" i="10"/>
  <c r="G13" i="10"/>
  <c r="G34" i="10"/>
  <c r="G45" i="16" l="1"/>
  <c r="W44" i="16"/>
  <c r="W25" i="16"/>
  <c r="J80" i="4" l="1"/>
  <c r="K80" i="4"/>
  <c r="L80" i="4"/>
  <c r="M80" i="4"/>
  <c r="N80" i="4"/>
  <c r="O80" i="4"/>
  <c r="P80" i="4"/>
  <c r="Q80" i="4"/>
  <c r="R80" i="4"/>
  <c r="S80" i="4"/>
  <c r="T80" i="4"/>
  <c r="U80" i="4"/>
  <c r="V80" i="4"/>
  <c r="W80" i="4"/>
  <c r="X80" i="4"/>
  <c r="Y80" i="4"/>
  <c r="Z80" i="4"/>
  <c r="AA80" i="4"/>
  <c r="AB80" i="4"/>
  <c r="AC80" i="4"/>
  <c r="AD80" i="4"/>
  <c r="AE80" i="4"/>
  <c r="AF80" i="4"/>
  <c r="AG80" i="4"/>
  <c r="D81" i="4"/>
  <c r="D80" i="4" s="1"/>
  <c r="E80" i="4"/>
  <c r="G81" i="4"/>
  <c r="F81" i="4" s="1"/>
  <c r="G80" i="4" l="1"/>
  <c r="F80" i="4" l="1"/>
  <c r="I80" i="4"/>
  <c r="H80" i="4"/>
  <c r="E12" i="15" l="1"/>
  <c r="E14" i="15" l="1"/>
  <c r="S17" i="11" l="1"/>
  <c r="K25" i="16" l="1"/>
  <c r="M25" i="16"/>
  <c r="O25" i="16"/>
  <c r="U25" i="16"/>
  <c r="S25" i="16"/>
  <c r="L10" i="2"/>
  <c r="M10" i="2"/>
  <c r="U16" i="13" l="1"/>
  <c r="G46" i="16" l="1"/>
  <c r="I46" i="16" s="1"/>
  <c r="H46" i="16" l="1"/>
  <c r="F46" i="16"/>
  <c r="U60" i="16"/>
  <c r="T60" i="16"/>
  <c r="U24" i="6" l="1"/>
  <c r="G24" i="6"/>
  <c r="F49" i="6" l="1"/>
  <c r="F24" i="6"/>
  <c r="E49" i="6" l="1"/>
  <c r="E45" i="6"/>
  <c r="E44" i="6"/>
  <c r="E35" i="6"/>
  <c r="E32" i="6"/>
  <c r="E28" i="6"/>
  <c r="E27" i="6"/>
  <c r="E24" i="6"/>
  <c r="E23" i="6"/>
  <c r="E20" i="6"/>
  <c r="E19" i="6"/>
  <c r="D20" i="6" l="1"/>
  <c r="G110" i="1" l="1"/>
  <c r="G111" i="1"/>
  <c r="G109" i="1"/>
  <c r="E110" i="1"/>
  <c r="E111" i="1"/>
  <c r="E109" i="1"/>
  <c r="D110" i="1"/>
  <c r="D111" i="1"/>
  <c r="D109" i="1"/>
  <c r="K108" i="1"/>
  <c r="L108" i="1"/>
  <c r="M108" i="1"/>
  <c r="N108" i="1"/>
  <c r="O108" i="1"/>
  <c r="P108" i="1"/>
  <c r="Q108" i="1"/>
  <c r="R108" i="1"/>
  <c r="S108" i="1"/>
  <c r="T108" i="1"/>
  <c r="U108" i="1"/>
  <c r="V108" i="1"/>
  <c r="W108" i="1"/>
  <c r="X108" i="1"/>
  <c r="Y108" i="1"/>
  <c r="Z108" i="1"/>
  <c r="AA108" i="1"/>
  <c r="AB108" i="1"/>
  <c r="AC108" i="1"/>
  <c r="AD108" i="1"/>
  <c r="AE108" i="1"/>
  <c r="AF108" i="1"/>
  <c r="AG108" i="1"/>
  <c r="J108" i="1"/>
  <c r="H110" i="1" l="1"/>
  <c r="I110" i="1"/>
  <c r="I111" i="1"/>
  <c r="F110" i="1"/>
  <c r="I109" i="1"/>
  <c r="F111" i="1"/>
  <c r="H109" i="1"/>
  <c r="H111" i="1"/>
  <c r="F109" i="1"/>
  <c r="G108" i="1"/>
  <c r="E108" i="1"/>
  <c r="D108" i="1"/>
  <c r="H108" i="1" l="1"/>
  <c r="I108" i="1"/>
  <c r="F108" i="1"/>
  <c r="G14" i="15"/>
  <c r="D14" i="15"/>
  <c r="U47" i="5" l="1"/>
  <c r="T47" i="5"/>
  <c r="D8" i="9" l="1"/>
  <c r="U32" i="5" l="1"/>
  <c r="S32" i="5"/>
  <c r="E105" i="1" l="1"/>
  <c r="X98" i="1" l="1"/>
  <c r="T98" i="1"/>
  <c r="T96" i="1"/>
  <c r="E91" i="1"/>
  <c r="AB89" i="1"/>
  <c r="T89" i="1"/>
  <c r="AB85" i="1"/>
  <c r="T80" i="1"/>
  <c r="V78" i="1"/>
  <c r="G78" i="1"/>
  <c r="AB70" i="1" l="1"/>
  <c r="T70" i="1"/>
  <c r="AF68" i="1"/>
  <c r="T68" i="1"/>
  <c r="E68" i="1" s="1"/>
  <c r="X66" i="1"/>
  <c r="G64" i="1"/>
  <c r="AF54" i="1"/>
  <c r="E54" i="1"/>
  <c r="T51" i="1"/>
  <c r="E51" i="1" s="1"/>
  <c r="G49" i="1"/>
  <c r="F49" i="1" s="1"/>
  <c r="V47" i="1"/>
  <c r="R47" i="1"/>
  <c r="E47" i="1" s="1"/>
  <c r="T43" i="1"/>
  <c r="T45" i="1"/>
  <c r="T31" i="1"/>
  <c r="E31" i="1" s="1"/>
  <c r="T29" i="1"/>
  <c r="T26" i="1"/>
  <c r="T24" i="1"/>
  <c r="E24" i="1" s="1"/>
  <c r="E45" i="1" l="1"/>
  <c r="D45" i="1"/>
  <c r="E26" i="1"/>
  <c r="E23" i="1" s="1"/>
  <c r="D26" i="1"/>
  <c r="F14" i="15"/>
  <c r="G15" i="7" l="1"/>
  <c r="AD105" i="1" l="1"/>
  <c r="Z85" i="1"/>
  <c r="R85" i="1"/>
  <c r="G84" i="1"/>
  <c r="F84" i="1" s="1"/>
  <c r="D84" i="1"/>
  <c r="E77" i="1"/>
  <c r="I84" i="1" l="1"/>
  <c r="H84" i="1"/>
  <c r="V66" i="1"/>
  <c r="E66" i="1" s="1"/>
  <c r="E61" i="1"/>
  <c r="R43" i="1"/>
  <c r="S34" i="1"/>
  <c r="R29" i="1"/>
  <c r="E29" i="1" s="1"/>
  <c r="S12" i="15" l="1"/>
  <c r="S9" i="15" s="1"/>
  <c r="K10" i="10" l="1"/>
  <c r="J10" i="10"/>
  <c r="S11" i="10"/>
  <c r="R11" i="10"/>
  <c r="Q11" i="10"/>
  <c r="O11" i="10"/>
  <c r="M11" i="10"/>
  <c r="K11" i="10"/>
  <c r="L11" i="10"/>
  <c r="J11" i="10"/>
  <c r="N11" i="10"/>
  <c r="E21" i="10" l="1"/>
  <c r="E13" i="10"/>
  <c r="S65" i="4" l="1"/>
  <c r="V13" i="2" l="1"/>
  <c r="T13" i="2"/>
  <c r="R14" i="2"/>
  <c r="Q14" i="2"/>
  <c r="E12" i="7" l="1"/>
  <c r="Q28" i="6" l="1"/>
  <c r="D19" i="6" l="1"/>
  <c r="E41" i="6" l="1"/>
  <c r="E15" i="6"/>
  <c r="E24" i="11" l="1"/>
  <c r="AI24" i="11" s="1"/>
  <c r="AF25" i="16" l="1"/>
  <c r="AD25" i="16"/>
  <c r="AB25" i="16"/>
  <c r="Z25" i="16"/>
  <c r="X25" i="16"/>
  <c r="V25" i="16"/>
  <c r="T25" i="16"/>
  <c r="R25" i="16"/>
  <c r="P25" i="16"/>
  <c r="Q25" i="16"/>
  <c r="F24" i="16" l="1"/>
  <c r="I26" i="16"/>
  <c r="D27" i="16"/>
  <c r="I27" i="16" l="1"/>
  <c r="H27" i="16"/>
  <c r="H26" i="16"/>
  <c r="Q10" i="10"/>
  <c r="P85" i="1" l="1"/>
  <c r="D79" i="1" l="1"/>
  <c r="G79" i="1"/>
  <c r="H79" i="1" l="1"/>
  <c r="F79" i="1"/>
  <c r="I79" i="1"/>
  <c r="O75" i="1" l="1"/>
  <c r="G45" i="1" l="1"/>
  <c r="E14" i="1" l="1"/>
  <c r="D15" i="2" l="1"/>
  <c r="I14" i="2" l="1"/>
  <c r="H14" i="2"/>
  <c r="AF18" i="2" l="1"/>
  <c r="AD18" i="2"/>
  <c r="X18" i="2"/>
  <c r="V18" i="2"/>
  <c r="T18" i="2"/>
  <c r="R18" i="2"/>
  <c r="P18" i="2"/>
  <c r="AI22" i="9" l="1"/>
  <c r="AI15" i="9" l="1"/>
  <c r="I16" i="9"/>
  <c r="Q73" i="5"/>
  <c r="Q32" i="5"/>
  <c r="E73" i="5" l="1"/>
  <c r="AB32" i="5"/>
  <c r="Z32" i="5"/>
  <c r="X32" i="5"/>
  <c r="P32" i="5"/>
  <c r="L32" i="5"/>
  <c r="AF32" i="5"/>
  <c r="AD32" i="5"/>
  <c r="V32" i="5"/>
  <c r="T32" i="5"/>
  <c r="N32" i="5"/>
  <c r="D32" i="5" s="1"/>
  <c r="J32" i="5"/>
  <c r="O76" i="5" l="1"/>
  <c r="P72" i="5" l="1"/>
  <c r="G27" i="5" l="1"/>
  <c r="P27" i="5"/>
  <c r="G24" i="19" l="1"/>
  <c r="F24" i="19" s="1"/>
  <c r="F23" i="19" s="1"/>
  <c r="D24" i="19"/>
  <c r="D23" i="19" s="1"/>
  <c r="G21" i="19"/>
  <c r="H21" i="19" s="1"/>
  <c r="D21" i="19"/>
  <c r="G20" i="19"/>
  <c r="D20" i="19"/>
  <c r="G19" i="19"/>
  <c r="I19" i="19"/>
  <c r="D19" i="19"/>
  <c r="M11" i="19"/>
  <c r="G14" i="19"/>
  <c r="F14" i="19" s="1"/>
  <c r="F13" i="19" s="1"/>
  <c r="E13" i="19"/>
  <c r="D14" i="19"/>
  <c r="D13" i="19" s="1"/>
  <c r="AG11" i="19"/>
  <c r="AE11" i="19"/>
  <c r="AD11" i="19"/>
  <c r="AC11" i="19"/>
  <c r="AB11" i="19"/>
  <c r="AA11" i="19"/>
  <c r="Z11" i="19"/>
  <c r="Y11" i="19"/>
  <c r="X11" i="19"/>
  <c r="W11" i="19"/>
  <c r="V11" i="19"/>
  <c r="U11" i="19"/>
  <c r="T11" i="19"/>
  <c r="S11" i="19"/>
  <c r="R11" i="19"/>
  <c r="Q11" i="19"/>
  <c r="P11" i="19"/>
  <c r="O11" i="19"/>
  <c r="L11" i="19"/>
  <c r="K11" i="19"/>
  <c r="J11" i="19"/>
  <c r="AG10" i="19"/>
  <c r="AF10" i="19"/>
  <c r="AE10" i="19"/>
  <c r="AD10" i="19"/>
  <c r="AC10" i="19"/>
  <c r="AB10" i="19"/>
  <c r="AA10" i="19"/>
  <c r="Z10" i="19"/>
  <c r="Y10" i="19"/>
  <c r="X10" i="19"/>
  <c r="W10" i="19"/>
  <c r="V10" i="19"/>
  <c r="U10" i="19"/>
  <c r="T10" i="19"/>
  <c r="S10" i="19"/>
  <c r="R10" i="19"/>
  <c r="Q10" i="19"/>
  <c r="P10" i="19"/>
  <c r="O10" i="19"/>
  <c r="N10" i="19"/>
  <c r="M10" i="19"/>
  <c r="L10" i="19"/>
  <c r="K10" i="19"/>
  <c r="J10" i="19"/>
  <c r="AG9" i="19"/>
  <c r="AF9" i="19"/>
  <c r="AE9" i="19"/>
  <c r="AD9" i="19"/>
  <c r="AC9" i="19"/>
  <c r="AB9" i="19"/>
  <c r="AA9" i="19"/>
  <c r="Z9" i="19"/>
  <c r="Y9" i="19"/>
  <c r="Y8" i="19" s="1"/>
  <c r="X9" i="19"/>
  <c r="W9" i="19"/>
  <c r="V9" i="19"/>
  <c r="U9" i="19"/>
  <c r="T9" i="19"/>
  <c r="S9" i="19"/>
  <c r="R9" i="19"/>
  <c r="Q9" i="19"/>
  <c r="Q8" i="19" s="1"/>
  <c r="O9" i="19"/>
  <c r="N9" i="19"/>
  <c r="M9" i="19"/>
  <c r="L9" i="19"/>
  <c r="L8" i="19" s="1"/>
  <c r="K9" i="19"/>
  <c r="J9" i="19"/>
  <c r="AG8" i="19"/>
  <c r="G23" i="19" l="1"/>
  <c r="H23" i="19"/>
  <c r="I24" i="19"/>
  <c r="F21" i="19"/>
  <c r="G18" i="19"/>
  <c r="AD8" i="19"/>
  <c r="G17" i="19"/>
  <c r="F17" i="19" s="1"/>
  <c r="F16" i="19" s="1"/>
  <c r="D17" i="19"/>
  <c r="D16" i="19" s="1"/>
  <c r="D9" i="19"/>
  <c r="T8" i="19"/>
  <c r="X8" i="19"/>
  <c r="AB8" i="19"/>
  <c r="V8" i="19"/>
  <c r="U8" i="19"/>
  <c r="J8" i="19"/>
  <c r="R8" i="19"/>
  <c r="Z8" i="19"/>
  <c r="H19" i="19"/>
  <c r="I21" i="19"/>
  <c r="AC8" i="19"/>
  <c r="G9" i="19"/>
  <c r="F9" i="19" s="1"/>
  <c r="O8" i="19"/>
  <c r="S8" i="19"/>
  <c r="W8" i="19"/>
  <c r="AA8" i="19"/>
  <c r="AE8" i="19"/>
  <c r="H14" i="19"/>
  <c r="G11" i="19"/>
  <c r="F11" i="19" s="1"/>
  <c r="D18" i="19"/>
  <c r="H18" i="19" s="1"/>
  <c r="H24" i="19"/>
  <c r="M8" i="19"/>
  <c r="G13" i="19"/>
  <c r="I14" i="19"/>
  <c r="E16" i="19"/>
  <c r="P8" i="19"/>
  <c r="D10" i="19"/>
  <c r="N11" i="19"/>
  <c r="F20" i="19"/>
  <c r="AF11" i="19"/>
  <c r="AF8" i="19" s="1"/>
  <c r="F19" i="19"/>
  <c r="H20" i="19"/>
  <c r="K8" i="19"/>
  <c r="G10" i="19"/>
  <c r="E18" i="19"/>
  <c r="I18" i="19" s="1"/>
  <c r="I20" i="19"/>
  <c r="E23" i="19"/>
  <c r="I23" i="19" s="1"/>
  <c r="H17" i="19" l="1"/>
  <c r="G16" i="19"/>
  <c r="H9" i="19"/>
  <c r="I17" i="19"/>
  <c r="I16" i="19"/>
  <c r="H16" i="19"/>
  <c r="I13" i="19"/>
  <c r="H13" i="19"/>
  <c r="I10" i="19"/>
  <c r="H10" i="19"/>
  <c r="F10" i="19"/>
  <c r="F8" i="19" s="1"/>
  <c r="G8" i="19"/>
  <c r="I9" i="19"/>
  <c r="N8" i="19"/>
  <c r="D11" i="19"/>
  <c r="I11" i="19"/>
  <c r="F18" i="19"/>
  <c r="E100" i="4"/>
  <c r="E98" i="4"/>
  <c r="O45" i="4"/>
  <c r="E46" i="4"/>
  <c r="E8" i="19" l="1"/>
  <c r="I8" i="19" s="1"/>
  <c r="H11" i="19"/>
  <c r="D8" i="19"/>
  <c r="H8" i="19" s="1"/>
  <c r="E11" i="2" l="1"/>
  <c r="N85" i="1" l="1"/>
  <c r="O85" i="1"/>
  <c r="AB87" i="1"/>
  <c r="N69" i="1"/>
  <c r="T69" i="1"/>
  <c r="AF70" i="1"/>
  <c r="N70" i="1"/>
  <c r="E70" i="1" s="1"/>
  <c r="V64" i="1"/>
  <c r="N64" i="1"/>
  <c r="E64" i="1" s="1"/>
  <c r="E69" i="1" l="1"/>
  <c r="E63" i="1"/>
  <c r="J42" i="1"/>
  <c r="D44" i="1"/>
  <c r="G44" i="1"/>
  <c r="D18" i="1"/>
  <c r="J14" i="1"/>
  <c r="K14" i="1"/>
  <c r="L14" i="1"/>
  <c r="M14" i="1"/>
  <c r="N14" i="1"/>
  <c r="O14" i="1"/>
  <c r="P14" i="1"/>
  <c r="Q14" i="1"/>
  <c r="R14" i="1"/>
  <c r="S14" i="1"/>
  <c r="T14" i="1"/>
  <c r="U14" i="1"/>
  <c r="V14" i="1"/>
  <c r="W14" i="1"/>
  <c r="X14" i="1"/>
  <c r="Y14" i="1"/>
  <c r="Z14" i="1"/>
  <c r="AA14" i="1"/>
  <c r="AB14" i="1"/>
  <c r="AC14" i="1"/>
  <c r="AD14" i="1"/>
  <c r="AE14" i="1"/>
  <c r="AF14" i="1"/>
  <c r="AG14" i="1"/>
  <c r="D17" i="1"/>
  <c r="G17" i="1"/>
  <c r="H44" i="1" l="1"/>
  <c r="H17" i="1"/>
  <c r="F44" i="1"/>
  <c r="I44" i="1"/>
  <c r="F17" i="1"/>
  <c r="I17" i="1"/>
  <c r="O54" i="8"/>
  <c r="M54" i="8"/>
  <c r="O52" i="8"/>
  <c r="M52" i="8"/>
  <c r="AG38" i="4"/>
  <c r="AF38" i="4"/>
  <c r="AE38" i="4"/>
  <c r="AD38" i="4"/>
  <c r="AC38" i="4"/>
  <c r="AB38" i="4"/>
  <c r="AA38" i="4"/>
  <c r="Z38" i="4"/>
  <c r="Y38" i="4"/>
  <c r="X38" i="4"/>
  <c r="W38" i="4"/>
  <c r="V38" i="4"/>
  <c r="U38" i="4"/>
  <c r="T38" i="4"/>
  <c r="S38" i="4"/>
  <c r="R38" i="4"/>
  <c r="Q38" i="4"/>
  <c r="P38" i="4"/>
  <c r="O38" i="4"/>
  <c r="N38" i="4"/>
  <c r="M38" i="4"/>
  <c r="L38" i="4"/>
  <c r="K38" i="4"/>
  <c r="J38" i="4"/>
  <c r="E66" i="4"/>
  <c r="E65" i="4" s="1"/>
  <c r="G66" i="4"/>
  <c r="D66" i="4"/>
  <c r="D65" i="4" s="1"/>
  <c r="AG65" i="4"/>
  <c r="AF65" i="4"/>
  <c r="AE65" i="4"/>
  <c r="AD65" i="4"/>
  <c r="AC65" i="4"/>
  <c r="AB65" i="4"/>
  <c r="AA65" i="4"/>
  <c r="Z65" i="4"/>
  <c r="Y65" i="4"/>
  <c r="X65" i="4"/>
  <c r="W65" i="4"/>
  <c r="V65" i="4"/>
  <c r="U65" i="4"/>
  <c r="T65" i="4"/>
  <c r="Q65" i="4"/>
  <c r="P65" i="4"/>
  <c r="O65" i="4"/>
  <c r="N65" i="4"/>
  <c r="M65" i="4"/>
  <c r="L65" i="4"/>
  <c r="K65" i="4"/>
  <c r="J65" i="4"/>
  <c r="G62" i="4"/>
  <c r="H66" i="4" l="1"/>
  <c r="I66" i="4"/>
  <c r="G65" i="4"/>
  <c r="F65" i="4" l="1"/>
  <c r="I65" i="4"/>
  <c r="H65" i="4"/>
  <c r="E9" i="12" l="1"/>
  <c r="F15" i="7" l="1"/>
  <c r="F12" i="7"/>
  <c r="E14" i="7"/>
  <c r="E9" i="7"/>
  <c r="J50" i="8" l="1"/>
  <c r="D58" i="8"/>
  <c r="E58" i="16" l="1"/>
  <c r="E60" i="16"/>
  <c r="E32" i="16" l="1"/>
  <c r="G61" i="16"/>
  <c r="G60" i="16" s="1"/>
  <c r="M24" i="16"/>
  <c r="E21" i="16"/>
  <c r="E19" i="16"/>
  <c r="E18" i="16" s="1"/>
  <c r="E15" i="16"/>
  <c r="E14" i="16" s="1"/>
  <c r="M31" i="16"/>
  <c r="D25" i="16" l="1"/>
  <c r="K16" i="13" l="1"/>
  <c r="L16" i="13"/>
  <c r="M16" i="13"/>
  <c r="N16" i="13"/>
  <c r="O16" i="13"/>
  <c r="P16" i="13"/>
  <c r="Q16" i="13"/>
  <c r="R16" i="13"/>
  <c r="S16" i="13"/>
  <c r="T16" i="13"/>
  <c r="V16" i="13"/>
  <c r="W16" i="13"/>
  <c r="X16" i="13"/>
  <c r="Y16" i="13"/>
  <c r="Z16" i="13"/>
  <c r="AA16" i="13"/>
  <c r="AB16" i="13"/>
  <c r="AC16" i="13"/>
  <c r="AD16" i="13"/>
  <c r="AE16" i="13"/>
  <c r="AF16" i="13"/>
  <c r="AG16" i="13"/>
  <c r="J16" i="13"/>
  <c r="J15" i="6" l="1"/>
  <c r="E40" i="6"/>
  <c r="F40" i="6"/>
  <c r="D45" i="6"/>
  <c r="D28" i="6"/>
  <c r="D27" i="6"/>
  <c r="D24" i="6"/>
  <c r="D23" i="6"/>
  <c r="E16" i="6" l="1"/>
  <c r="E11" i="6" s="1"/>
  <c r="F29" i="10"/>
  <c r="F28" i="10" s="1"/>
  <c r="E10" i="6" l="1"/>
  <c r="E8" i="6" s="1"/>
  <c r="M73" i="5" l="1"/>
  <c r="L98" i="1" l="1"/>
  <c r="E98" i="1" s="1"/>
  <c r="N89" i="1"/>
  <c r="E89" i="1" s="1"/>
  <c r="L85" i="1"/>
  <c r="E83" i="1" s="1"/>
  <c r="P43" i="1" l="1"/>
  <c r="E43" i="1" s="1"/>
  <c r="E42" i="1" s="1"/>
  <c r="D43" i="1" l="1"/>
  <c r="G43" i="1"/>
  <c r="F43" i="1" s="1"/>
  <c r="J21" i="1"/>
  <c r="K18" i="10" l="1"/>
  <c r="I61" i="16" l="1"/>
  <c r="D61" i="16"/>
  <c r="D60" i="16" s="1"/>
  <c r="AG60" i="16"/>
  <c r="AF60" i="16"/>
  <c r="AE60" i="16"/>
  <c r="AD60" i="16"/>
  <c r="AC60" i="16"/>
  <c r="AB60" i="16"/>
  <c r="AA60" i="16"/>
  <c r="Z60" i="16"/>
  <c r="Y60" i="16"/>
  <c r="X60" i="16"/>
  <c r="W60" i="16"/>
  <c r="V60" i="16"/>
  <c r="S60" i="16"/>
  <c r="R60" i="16"/>
  <c r="Q60" i="16"/>
  <c r="P60" i="16"/>
  <c r="N60" i="16"/>
  <c r="M60" i="16"/>
  <c r="L60" i="16"/>
  <c r="K60" i="16"/>
  <c r="J60" i="16"/>
  <c r="G59" i="16"/>
  <c r="F58" i="16" s="1"/>
  <c r="D59" i="16"/>
  <c r="D58" i="16" s="1"/>
  <c r="AG58" i="16"/>
  <c r="AF58" i="16"/>
  <c r="AE58" i="16"/>
  <c r="AD58" i="16"/>
  <c r="AC58" i="16"/>
  <c r="AB58" i="16"/>
  <c r="AA58" i="16"/>
  <c r="Z58" i="16"/>
  <c r="Y58" i="16"/>
  <c r="X58" i="16"/>
  <c r="W58" i="16"/>
  <c r="V58" i="16"/>
  <c r="U58" i="16"/>
  <c r="T58" i="16"/>
  <c r="S58" i="16"/>
  <c r="R58" i="16"/>
  <c r="Q58" i="16"/>
  <c r="P58" i="16"/>
  <c r="O58" i="16"/>
  <c r="N58" i="16"/>
  <c r="M58" i="16"/>
  <c r="L58" i="16"/>
  <c r="J58" i="16"/>
  <c r="E56" i="16"/>
  <c r="D57" i="16"/>
  <c r="D56" i="16" s="1"/>
  <c r="AG56" i="16"/>
  <c r="AF56" i="16"/>
  <c r="AE56" i="16"/>
  <c r="AD56" i="16"/>
  <c r="AC56" i="16"/>
  <c r="AB56" i="16"/>
  <c r="Z56" i="16"/>
  <c r="X56" i="16"/>
  <c r="W56" i="16"/>
  <c r="V56" i="16"/>
  <c r="U56" i="16"/>
  <c r="T56" i="16"/>
  <c r="S56" i="16"/>
  <c r="R56" i="16"/>
  <c r="Q56" i="16"/>
  <c r="P56" i="16"/>
  <c r="O56" i="16"/>
  <c r="N56" i="16"/>
  <c r="M56" i="16"/>
  <c r="L56" i="16"/>
  <c r="K56" i="16"/>
  <c r="J56" i="16"/>
  <c r="AG55" i="16"/>
  <c r="AF55" i="16"/>
  <c r="AE55" i="16"/>
  <c r="AD55" i="16"/>
  <c r="AC55" i="16"/>
  <c r="AB55" i="16"/>
  <c r="AA54" i="16"/>
  <c r="Z55" i="16"/>
  <c r="Z54" i="16" s="1"/>
  <c r="Y54" i="16"/>
  <c r="X55" i="16"/>
  <c r="X54" i="16" s="1"/>
  <c r="W54" i="16"/>
  <c r="V55" i="16"/>
  <c r="V54" i="16" s="1"/>
  <c r="U55" i="16"/>
  <c r="U54" i="16" s="1"/>
  <c r="T55" i="16"/>
  <c r="T54" i="16" s="1"/>
  <c r="S55" i="16"/>
  <c r="S54" i="16" s="1"/>
  <c r="R55" i="16"/>
  <c r="R54" i="16" s="1"/>
  <c r="Q55" i="16"/>
  <c r="Q54" i="16" s="1"/>
  <c r="P55" i="16"/>
  <c r="P54" i="16" s="1"/>
  <c r="O55" i="16"/>
  <c r="O54" i="16" s="1"/>
  <c r="N55" i="16"/>
  <c r="N54" i="16" s="1"/>
  <c r="M55" i="16"/>
  <c r="M54" i="16" s="1"/>
  <c r="L55" i="16"/>
  <c r="L54" i="16" s="1"/>
  <c r="K55" i="16"/>
  <c r="J55" i="16"/>
  <c r="AG54" i="16"/>
  <c r="AF54" i="16"/>
  <c r="AE54" i="16"/>
  <c r="AD54" i="16"/>
  <c r="AC54" i="16"/>
  <c r="AB54" i="16"/>
  <c r="G52" i="16"/>
  <c r="D51" i="16"/>
  <c r="AG51" i="16"/>
  <c r="AF51" i="16"/>
  <c r="AE51" i="16"/>
  <c r="AD51" i="16"/>
  <c r="AC51" i="16"/>
  <c r="AB51" i="16"/>
  <c r="AA51" i="16"/>
  <c r="Z51" i="16"/>
  <c r="Y51" i="16"/>
  <c r="X51" i="16"/>
  <c r="W51" i="16"/>
  <c r="V51" i="16"/>
  <c r="U51" i="16"/>
  <c r="T51" i="16"/>
  <c r="S51" i="16"/>
  <c r="R51" i="16"/>
  <c r="Q51" i="16"/>
  <c r="P51" i="16"/>
  <c r="O51" i="16"/>
  <c r="N51" i="16"/>
  <c r="M51" i="16"/>
  <c r="L51" i="16"/>
  <c r="K51" i="16"/>
  <c r="J51" i="16"/>
  <c r="G50" i="16"/>
  <c r="G49" i="16" s="1"/>
  <c r="E49" i="16"/>
  <c r="D50" i="16"/>
  <c r="D49" i="16" s="1"/>
  <c r="AG49" i="16"/>
  <c r="AF49" i="16"/>
  <c r="AE49" i="16"/>
  <c r="AD49" i="16"/>
  <c r="AC49" i="16"/>
  <c r="AB49" i="16"/>
  <c r="AA49" i="16"/>
  <c r="Z49" i="16"/>
  <c r="Y49" i="16"/>
  <c r="X49" i="16"/>
  <c r="W49" i="16"/>
  <c r="V49" i="16"/>
  <c r="U49" i="16"/>
  <c r="T49" i="16"/>
  <c r="S49" i="16"/>
  <c r="R49" i="16"/>
  <c r="Q49" i="16"/>
  <c r="P49" i="16"/>
  <c r="O49" i="16"/>
  <c r="N49" i="16"/>
  <c r="M49" i="16"/>
  <c r="L49" i="16"/>
  <c r="K49" i="16"/>
  <c r="J49" i="16"/>
  <c r="AG48" i="16"/>
  <c r="AG47" i="16" s="1"/>
  <c r="AF48" i="16"/>
  <c r="AF47" i="16" s="1"/>
  <c r="AE48" i="16"/>
  <c r="AE47" i="16" s="1"/>
  <c r="AD48" i="16"/>
  <c r="AD47" i="16" s="1"/>
  <c r="AC48" i="16"/>
  <c r="AC47" i="16" s="1"/>
  <c r="AB48" i="16"/>
  <c r="AB47" i="16" s="1"/>
  <c r="AA48" i="16"/>
  <c r="AA47" i="16" s="1"/>
  <c r="Z48" i="16"/>
  <c r="Z47" i="16" s="1"/>
  <c r="Y47" i="16"/>
  <c r="X48" i="16"/>
  <c r="X47" i="16" s="1"/>
  <c r="W47" i="16"/>
  <c r="V48" i="16"/>
  <c r="V47" i="16" s="1"/>
  <c r="U48" i="16"/>
  <c r="U47" i="16" s="1"/>
  <c r="T48" i="16"/>
  <c r="T47" i="16" s="1"/>
  <c r="S48" i="16"/>
  <c r="S47" i="16" s="1"/>
  <c r="R48" i="16"/>
  <c r="R47" i="16" s="1"/>
  <c r="Q48" i="16"/>
  <c r="Q47" i="16" s="1"/>
  <c r="P48" i="16"/>
  <c r="O48" i="16"/>
  <c r="O47" i="16" s="1"/>
  <c r="N48" i="16"/>
  <c r="N47" i="16" s="1"/>
  <c r="M48" i="16"/>
  <c r="M47" i="16" s="1"/>
  <c r="L48" i="16"/>
  <c r="L47" i="16" s="1"/>
  <c r="K48" i="16"/>
  <c r="J48" i="16"/>
  <c r="P47" i="16"/>
  <c r="AG44" i="16"/>
  <c r="AF44" i="16"/>
  <c r="AE44" i="16"/>
  <c r="AD44" i="16"/>
  <c r="AC44" i="16"/>
  <c r="AB44" i="16"/>
  <c r="AA44" i="16"/>
  <c r="Z44" i="16"/>
  <c r="Y44" i="16"/>
  <c r="X44" i="16"/>
  <c r="V44" i="16"/>
  <c r="U44" i="16"/>
  <c r="T44" i="16"/>
  <c r="S44" i="16"/>
  <c r="R44" i="16"/>
  <c r="Q44" i="16"/>
  <c r="P44" i="16"/>
  <c r="O44" i="16"/>
  <c r="N44" i="16"/>
  <c r="M44" i="16"/>
  <c r="L44" i="16"/>
  <c r="K44" i="16"/>
  <c r="J44" i="16"/>
  <c r="G43" i="16"/>
  <c r="E42" i="16"/>
  <c r="D43" i="16"/>
  <c r="D42" i="16" s="1"/>
  <c r="AG42" i="16"/>
  <c r="AF42" i="16"/>
  <c r="AE42" i="16"/>
  <c r="AD42" i="16"/>
  <c r="AC42" i="16"/>
  <c r="AB42" i="16"/>
  <c r="AA42" i="16"/>
  <c r="Z42" i="16"/>
  <c r="Y42" i="16"/>
  <c r="X42" i="16"/>
  <c r="W42" i="16"/>
  <c r="V42" i="16"/>
  <c r="U42" i="16"/>
  <c r="T42" i="16"/>
  <c r="S42" i="16"/>
  <c r="R42" i="16"/>
  <c r="Q42" i="16"/>
  <c r="P42" i="16"/>
  <c r="O42" i="16"/>
  <c r="N42" i="16"/>
  <c r="M42" i="16"/>
  <c r="L42" i="16"/>
  <c r="J42" i="16"/>
  <c r="G41" i="16"/>
  <c r="E40" i="16"/>
  <c r="D41" i="16"/>
  <c r="D40" i="16" s="1"/>
  <c r="AG40" i="16"/>
  <c r="AF40" i="16"/>
  <c r="AE40" i="16"/>
  <c r="AD40" i="16"/>
  <c r="AC40" i="16"/>
  <c r="AB40" i="16"/>
  <c r="AA40" i="16"/>
  <c r="Z40" i="16"/>
  <c r="Y40" i="16"/>
  <c r="X40" i="16"/>
  <c r="W40" i="16"/>
  <c r="V40" i="16"/>
  <c r="U40" i="16"/>
  <c r="T40" i="16"/>
  <c r="S40" i="16"/>
  <c r="R40" i="16"/>
  <c r="Q40" i="16"/>
  <c r="P40" i="16"/>
  <c r="O40" i="16"/>
  <c r="N40" i="16"/>
  <c r="M40" i="16"/>
  <c r="L40" i="16"/>
  <c r="K40" i="16"/>
  <c r="J40" i="16"/>
  <c r="G39" i="16"/>
  <c r="E39" i="16"/>
  <c r="E38" i="16" s="1"/>
  <c r="D39" i="16"/>
  <c r="D38" i="16" s="1"/>
  <c r="AG38" i="16"/>
  <c r="AF38" i="16"/>
  <c r="AE38" i="16"/>
  <c r="AD38" i="16"/>
  <c r="AC38" i="16"/>
  <c r="AB38" i="16"/>
  <c r="AA38" i="16"/>
  <c r="Z38" i="16"/>
  <c r="Y38" i="16"/>
  <c r="X38" i="16"/>
  <c r="W38" i="16"/>
  <c r="V38" i="16"/>
  <c r="U38" i="16"/>
  <c r="T38" i="16"/>
  <c r="S38" i="16"/>
  <c r="R38" i="16"/>
  <c r="Q38" i="16"/>
  <c r="P38" i="16"/>
  <c r="O38" i="16"/>
  <c r="N38" i="16"/>
  <c r="M38" i="16"/>
  <c r="L38" i="16"/>
  <c r="K38" i="16"/>
  <c r="J38" i="16"/>
  <c r="G37" i="16"/>
  <c r="E36" i="16"/>
  <c r="D37" i="16"/>
  <c r="D36" i="16" s="1"/>
  <c r="AG36" i="16"/>
  <c r="AF36" i="16"/>
  <c r="AE36" i="16"/>
  <c r="AD36" i="16"/>
  <c r="AC36" i="16"/>
  <c r="AB36" i="16"/>
  <c r="AA36" i="16"/>
  <c r="Z36" i="16"/>
  <c r="Y36" i="16"/>
  <c r="X36" i="16"/>
  <c r="W36" i="16"/>
  <c r="V36" i="16"/>
  <c r="U36" i="16"/>
  <c r="T36" i="16"/>
  <c r="S36" i="16"/>
  <c r="R36" i="16"/>
  <c r="Q36" i="16"/>
  <c r="P36" i="16"/>
  <c r="O36" i="16"/>
  <c r="N36" i="16"/>
  <c r="M36" i="16"/>
  <c r="L36" i="16"/>
  <c r="K36" i="16"/>
  <c r="J36" i="16"/>
  <c r="AG35" i="16"/>
  <c r="AG34" i="16" s="1"/>
  <c r="AF35" i="16"/>
  <c r="AF34" i="16" s="1"/>
  <c r="AE35" i="16"/>
  <c r="AE34" i="16" s="1"/>
  <c r="AD35" i="16"/>
  <c r="AD34" i="16" s="1"/>
  <c r="AC35" i="16"/>
  <c r="AC34" i="16" s="1"/>
  <c r="AB35" i="16"/>
  <c r="AB34" i="16" s="1"/>
  <c r="AA35" i="16"/>
  <c r="AA30" i="16" s="1"/>
  <c r="Z35" i="16"/>
  <c r="Z34" i="16" s="1"/>
  <c r="Y35" i="16"/>
  <c r="X35" i="16"/>
  <c r="X34" i="16" s="1"/>
  <c r="W35" i="16"/>
  <c r="W34" i="16" s="1"/>
  <c r="V35" i="16"/>
  <c r="V34" i="16" s="1"/>
  <c r="U35" i="16"/>
  <c r="T35" i="16"/>
  <c r="T34" i="16" s="1"/>
  <c r="S35" i="16"/>
  <c r="S34" i="16" s="1"/>
  <c r="R35" i="16"/>
  <c r="R34" i="16" s="1"/>
  <c r="Q34" i="16"/>
  <c r="P35" i="16"/>
  <c r="P34" i="16" s="1"/>
  <c r="O35" i="16"/>
  <c r="O34" i="16" s="1"/>
  <c r="N35" i="16"/>
  <c r="N34" i="16" s="1"/>
  <c r="M35" i="16"/>
  <c r="M34" i="16" s="1"/>
  <c r="L35" i="16"/>
  <c r="K30" i="16"/>
  <c r="J35" i="16"/>
  <c r="G33" i="16"/>
  <c r="D33" i="16"/>
  <c r="D32" i="16" s="1"/>
  <c r="AG32" i="16"/>
  <c r="AF32" i="16"/>
  <c r="AE32" i="16"/>
  <c r="AD32" i="16"/>
  <c r="AC32" i="16"/>
  <c r="AB32" i="16"/>
  <c r="AA32" i="16"/>
  <c r="Z32" i="16"/>
  <c r="Y32" i="16"/>
  <c r="X32" i="16"/>
  <c r="W32" i="16"/>
  <c r="V32" i="16"/>
  <c r="U32" i="16"/>
  <c r="T32" i="16"/>
  <c r="S32" i="16"/>
  <c r="R32" i="16"/>
  <c r="Q32" i="16"/>
  <c r="P32" i="16"/>
  <c r="O32" i="16"/>
  <c r="N32" i="16"/>
  <c r="M32" i="16"/>
  <c r="L32" i="16"/>
  <c r="K32" i="16"/>
  <c r="J32" i="16"/>
  <c r="AG31" i="16"/>
  <c r="AG10" i="16" s="1"/>
  <c r="AF31" i="16"/>
  <c r="AF10" i="16" s="1"/>
  <c r="AE31" i="16"/>
  <c r="AE10" i="16" s="1"/>
  <c r="AD31" i="16"/>
  <c r="AD10" i="16" s="1"/>
  <c r="AC31" i="16"/>
  <c r="AC10" i="16" s="1"/>
  <c r="AB31" i="16"/>
  <c r="AB10" i="16" s="1"/>
  <c r="AA31" i="16"/>
  <c r="AA10" i="16" s="1"/>
  <c r="Z31" i="16"/>
  <c r="Z10" i="16" s="1"/>
  <c r="Y31" i="16"/>
  <c r="Y10" i="16" s="1"/>
  <c r="X31" i="16"/>
  <c r="X10" i="16" s="1"/>
  <c r="W31" i="16"/>
  <c r="V31" i="16"/>
  <c r="V10" i="16" s="1"/>
  <c r="U31" i="16"/>
  <c r="U10" i="16" s="1"/>
  <c r="T31" i="16"/>
  <c r="T10" i="16" s="1"/>
  <c r="S31" i="16"/>
  <c r="R31" i="16"/>
  <c r="Q31" i="16"/>
  <c r="Q10" i="16" s="1"/>
  <c r="P31" i="16"/>
  <c r="P10" i="16" s="1"/>
  <c r="O31" i="16"/>
  <c r="O10" i="16" s="1"/>
  <c r="N31" i="16"/>
  <c r="N10" i="16" s="1"/>
  <c r="M10" i="16"/>
  <c r="L31" i="16"/>
  <c r="L10" i="16" s="1"/>
  <c r="K31" i="16"/>
  <c r="J31" i="16"/>
  <c r="E31" i="16" s="1"/>
  <c r="W30" i="16"/>
  <c r="G25" i="16"/>
  <c r="E24" i="16"/>
  <c r="D24" i="16"/>
  <c r="AG24" i="16"/>
  <c r="AF24" i="16"/>
  <c r="AE24" i="16"/>
  <c r="AD24" i="16"/>
  <c r="AC24" i="16"/>
  <c r="AB24" i="16"/>
  <c r="AA24" i="16"/>
  <c r="Z24" i="16"/>
  <c r="Y24" i="16"/>
  <c r="X24" i="16"/>
  <c r="W24" i="16"/>
  <c r="V24" i="16"/>
  <c r="U24" i="16"/>
  <c r="T24" i="16"/>
  <c r="S24" i="16"/>
  <c r="R24" i="16"/>
  <c r="Q24" i="16"/>
  <c r="P24" i="16"/>
  <c r="O24" i="16"/>
  <c r="N24" i="16"/>
  <c r="L24" i="16"/>
  <c r="K24" i="16"/>
  <c r="J24" i="16"/>
  <c r="G22" i="16"/>
  <c r="D22" i="16"/>
  <c r="D21" i="16" s="1"/>
  <c r="AG21" i="16"/>
  <c r="AF21" i="16"/>
  <c r="AE21" i="16"/>
  <c r="AD21" i="16"/>
  <c r="AC21" i="16"/>
  <c r="AB21" i="16"/>
  <c r="AA21" i="16"/>
  <c r="Z21" i="16"/>
  <c r="Y21" i="16"/>
  <c r="X21" i="16"/>
  <c r="W21" i="16"/>
  <c r="V21" i="16"/>
  <c r="U21" i="16"/>
  <c r="T21" i="16"/>
  <c r="S21" i="16"/>
  <c r="R21" i="16"/>
  <c r="Q21" i="16"/>
  <c r="P21" i="16"/>
  <c r="O21" i="16"/>
  <c r="N21" i="16"/>
  <c r="M21" i="16"/>
  <c r="L21" i="16"/>
  <c r="K21" i="16"/>
  <c r="J21" i="16"/>
  <c r="G19" i="16"/>
  <c r="D19" i="16"/>
  <c r="D18" i="16" s="1"/>
  <c r="AG18" i="16"/>
  <c r="AF18" i="16"/>
  <c r="AE18" i="16"/>
  <c r="AD18" i="16"/>
  <c r="AC18" i="16"/>
  <c r="AB18" i="16"/>
  <c r="AA18" i="16"/>
  <c r="Z18" i="16"/>
  <c r="Y18" i="16"/>
  <c r="X18" i="16"/>
  <c r="W18" i="16"/>
  <c r="V18" i="16"/>
  <c r="U18" i="16"/>
  <c r="T18" i="16"/>
  <c r="S18" i="16"/>
  <c r="R18" i="16"/>
  <c r="Q18" i="16"/>
  <c r="P18" i="16"/>
  <c r="O18" i="16"/>
  <c r="N18" i="16"/>
  <c r="M18" i="16"/>
  <c r="L18" i="16"/>
  <c r="K18" i="16"/>
  <c r="J18" i="16"/>
  <c r="G17" i="16"/>
  <c r="E16" i="16"/>
  <c r="D17" i="16"/>
  <c r="D16" i="16" s="1"/>
  <c r="AG16" i="16"/>
  <c r="AF16" i="16"/>
  <c r="AE16" i="16"/>
  <c r="AD16" i="16"/>
  <c r="AC16" i="16"/>
  <c r="AB16" i="16"/>
  <c r="AA16" i="16"/>
  <c r="Z16" i="16"/>
  <c r="Y16" i="16"/>
  <c r="X16" i="16"/>
  <c r="W16" i="16"/>
  <c r="V16" i="16"/>
  <c r="U16" i="16"/>
  <c r="T16" i="16"/>
  <c r="S16" i="16"/>
  <c r="R16" i="16"/>
  <c r="Q16" i="16"/>
  <c r="P16" i="16"/>
  <c r="O16" i="16"/>
  <c r="N16" i="16"/>
  <c r="M16" i="16"/>
  <c r="L16" i="16"/>
  <c r="K16" i="16"/>
  <c r="J16" i="16"/>
  <c r="G15" i="16"/>
  <c r="D15" i="16"/>
  <c r="D14" i="16" s="1"/>
  <c r="AG14" i="16"/>
  <c r="AF14" i="16"/>
  <c r="AE14" i="16"/>
  <c r="AD14" i="16"/>
  <c r="AC14" i="16"/>
  <c r="AB14" i="16"/>
  <c r="AA14" i="16"/>
  <c r="Z14" i="16"/>
  <c r="Y14" i="16"/>
  <c r="X14" i="16"/>
  <c r="W14" i="16"/>
  <c r="V14" i="16"/>
  <c r="U14" i="16"/>
  <c r="T14" i="16"/>
  <c r="S14" i="16"/>
  <c r="R14" i="16"/>
  <c r="Q14" i="16"/>
  <c r="P14" i="16"/>
  <c r="O14" i="16"/>
  <c r="N14" i="16"/>
  <c r="M14" i="16"/>
  <c r="L14" i="16"/>
  <c r="K14" i="16"/>
  <c r="J14" i="16"/>
  <c r="AG13" i="16"/>
  <c r="AF13" i="16"/>
  <c r="AE13" i="16"/>
  <c r="AD13" i="16"/>
  <c r="AC13" i="16"/>
  <c r="AB13" i="16"/>
  <c r="AA13" i="16"/>
  <c r="AA12" i="16" s="1"/>
  <c r="Z13" i="16"/>
  <c r="Z12" i="16" s="1"/>
  <c r="Y13" i="16"/>
  <c r="Y12" i="16" s="1"/>
  <c r="X13" i="16"/>
  <c r="W13" i="16"/>
  <c r="W12" i="16" s="1"/>
  <c r="V13" i="16"/>
  <c r="U13" i="16"/>
  <c r="U12" i="16" s="1"/>
  <c r="T13" i="16"/>
  <c r="T12" i="16" s="1"/>
  <c r="S13" i="16"/>
  <c r="S12" i="16" s="1"/>
  <c r="R13" i="16"/>
  <c r="Q13" i="16"/>
  <c r="Q12" i="16" s="1"/>
  <c r="P13" i="16"/>
  <c r="P12" i="16" s="1"/>
  <c r="O13" i="16"/>
  <c r="O12" i="16" s="1"/>
  <c r="N13" i="16"/>
  <c r="N12" i="16" s="1"/>
  <c r="M13" i="16"/>
  <c r="M12" i="16" s="1"/>
  <c r="L13" i="16"/>
  <c r="L12" i="16" s="1"/>
  <c r="K13" i="16"/>
  <c r="J13" i="16"/>
  <c r="AG12" i="16"/>
  <c r="AF12" i="16"/>
  <c r="AE12" i="16"/>
  <c r="AD12" i="16"/>
  <c r="AC12" i="16"/>
  <c r="AB12" i="16"/>
  <c r="W10" i="16"/>
  <c r="U34" i="16" l="1"/>
  <c r="U30" i="16"/>
  <c r="K47" i="16"/>
  <c r="G48" i="16"/>
  <c r="F48" i="16" s="1"/>
  <c r="R10" i="16"/>
  <c r="E47" i="16"/>
  <c r="Y34" i="16"/>
  <c r="G58" i="16"/>
  <c r="I58" i="16" s="1"/>
  <c r="G32" i="16"/>
  <c r="I32" i="16" s="1"/>
  <c r="F33" i="16"/>
  <c r="F32" i="16" s="1"/>
  <c r="X12" i="16"/>
  <c r="E34" i="16"/>
  <c r="E54" i="16"/>
  <c r="G31" i="16"/>
  <c r="F31" i="16" s="1"/>
  <c r="AA29" i="16"/>
  <c r="W29" i="16"/>
  <c r="J12" i="16"/>
  <c r="E13" i="16"/>
  <c r="E12" i="16" s="1"/>
  <c r="J10" i="16"/>
  <c r="E10" i="16" s="1"/>
  <c r="L34" i="16"/>
  <c r="K10" i="16"/>
  <c r="J34" i="16"/>
  <c r="O30" i="16"/>
  <c r="O29" i="16" s="1"/>
  <c r="K34" i="16"/>
  <c r="AA34" i="16"/>
  <c r="G13" i="16"/>
  <c r="G12" i="16" s="1"/>
  <c r="K29" i="16"/>
  <c r="D35" i="16"/>
  <c r="D34" i="16" s="1"/>
  <c r="I45" i="16"/>
  <c r="I19" i="16"/>
  <c r="R30" i="16"/>
  <c r="R9" i="16" s="1"/>
  <c r="R8" i="16" s="1"/>
  <c r="AD30" i="16"/>
  <c r="AD29" i="16" s="1"/>
  <c r="N30" i="16"/>
  <c r="N29" i="16" s="1"/>
  <c r="V30" i="16"/>
  <c r="Z30" i="16"/>
  <c r="I59" i="16"/>
  <c r="I25" i="16"/>
  <c r="S30" i="16"/>
  <c r="S9" i="16" s="1"/>
  <c r="AE30" i="16"/>
  <c r="AE29" i="16" s="1"/>
  <c r="I48" i="16"/>
  <c r="I15" i="16"/>
  <c r="G18" i="16"/>
  <c r="I18" i="16" s="1"/>
  <c r="X30" i="16"/>
  <c r="I37" i="16"/>
  <c r="R12" i="16"/>
  <c r="G24" i="16"/>
  <c r="I24" i="16" s="1"/>
  <c r="L30" i="16"/>
  <c r="I39" i="16"/>
  <c r="I41" i="16"/>
  <c r="I43" i="16"/>
  <c r="I50" i="16"/>
  <c r="M30" i="16"/>
  <c r="M29" i="16" s="1"/>
  <c r="G36" i="16"/>
  <c r="H36" i="16" s="1"/>
  <c r="I52" i="16"/>
  <c r="I57" i="16"/>
  <c r="G14" i="16"/>
  <c r="I14" i="16" s="1"/>
  <c r="I17" i="16"/>
  <c r="I22" i="16"/>
  <c r="Y30" i="16"/>
  <c r="Y29" i="16" s="1"/>
  <c r="G38" i="16"/>
  <c r="H38" i="16" s="1"/>
  <c r="G40" i="16"/>
  <c r="I40" i="16" s="1"/>
  <c r="G42" i="16"/>
  <c r="I42" i="16" s="1"/>
  <c r="S10" i="16"/>
  <c r="G21" i="16"/>
  <c r="I21" i="16" s="1"/>
  <c r="J30" i="16"/>
  <c r="D31" i="16"/>
  <c r="H31" i="16" s="1"/>
  <c r="G55" i="16"/>
  <c r="F54" i="16" s="1"/>
  <c r="I60" i="16"/>
  <c r="G16" i="16"/>
  <c r="I16" i="16" s="1"/>
  <c r="F13" i="16"/>
  <c r="F12" i="16" s="1"/>
  <c r="H32" i="16"/>
  <c r="F39" i="16"/>
  <c r="F41" i="16"/>
  <c r="F43" i="16"/>
  <c r="F42" i="16" s="1"/>
  <c r="G51" i="16"/>
  <c r="F51" i="16" s="1"/>
  <c r="G56" i="16"/>
  <c r="H37" i="16"/>
  <c r="H39" i="16"/>
  <c r="H41" i="16"/>
  <c r="H43" i="16"/>
  <c r="H45" i="16"/>
  <c r="H58" i="16"/>
  <c r="H14" i="16"/>
  <c r="H33" i="16"/>
  <c r="I33" i="16"/>
  <c r="D13" i="16"/>
  <c r="D12" i="16" s="1"/>
  <c r="P30" i="16"/>
  <c r="AB30" i="16"/>
  <c r="D48" i="16"/>
  <c r="D47" i="16" s="1"/>
  <c r="J54" i="16"/>
  <c r="D55" i="16"/>
  <c r="D54" i="16" s="1"/>
  <c r="V12" i="16"/>
  <c r="J47" i="16"/>
  <c r="K9" i="16"/>
  <c r="W9" i="16"/>
  <c r="W8" i="16" s="1"/>
  <c r="K12" i="16"/>
  <c r="Q30" i="16"/>
  <c r="AC30" i="16"/>
  <c r="K54" i="16"/>
  <c r="F15" i="16"/>
  <c r="F14" i="16" s="1"/>
  <c r="F17" i="16"/>
  <c r="F16" i="16" s="1"/>
  <c r="F19" i="16"/>
  <c r="F18" i="16" s="1"/>
  <c r="F22" i="16"/>
  <c r="F21" i="16" s="1"/>
  <c r="F38" i="16"/>
  <c r="F44" i="16"/>
  <c r="F50" i="16"/>
  <c r="F49" i="16" s="1"/>
  <c r="F52" i="16"/>
  <c r="F56" i="16"/>
  <c r="F60" i="16"/>
  <c r="H15" i="16"/>
  <c r="H17" i="16"/>
  <c r="H19" i="16"/>
  <c r="H22" i="16"/>
  <c r="H25" i="16"/>
  <c r="T30" i="16"/>
  <c r="AF30" i="16"/>
  <c r="H50" i="16"/>
  <c r="H52" i="16"/>
  <c r="H57" i="16"/>
  <c r="H59" i="16"/>
  <c r="H61" i="16"/>
  <c r="G44" i="16"/>
  <c r="AA9" i="16"/>
  <c r="AA8" i="16" s="1"/>
  <c r="AG30" i="16"/>
  <c r="K24" i="5"/>
  <c r="H42" i="16" l="1"/>
  <c r="D10" i="16"/>
  <c r="X9" i="16"/>
  <c r="E30" i="16"/>
  <c r="E29" i="16" s="1"/>
  <c r="R29" i="16"/>
  <c r="Z29" i="16"/>
  <c r="D30" i="16"/>
  <c r="D29" i="16" s="1"/>
  <c r="V29" i="16"/>
  <c r="G10" i="16"/>
  <c r="H10" i="16" s="1"/>
  <c r="I31" i="16"/>
  <c r="Y9" i="16"/>
  <c r="F47" i="16"/>
  <c r="G47" i="16"/>
  <c r="I47" i="16" s="1"/>
  <c r="O9" i="16"/>
  <c r="O8" i="16" s="1"/>
  <c r="N9" i="16"/>
  <c r="N8" i="16" s="1"/>
  <c r="I36" i="16"/>
  <c r="G34" i="16"/>
  <c r="I34" i="16" s="1"/>
  <c r="F35" i="16"/>
  <c r="F34" i="16" s="1"/>
  <c r="H35" i="16"/>
  <c r="I35" i="16"/>
  <c r="G54" i="16"/>
  <c r="I54" i="16" s="1"/>
  <c r="I38" i="16"/>
  <c r="V9" i="16"/>
  <c r="Z9" i="16"/>
  <c r="J29" i="16"/>
  <c r="S8" i="16"/>
  <c r="M9" i="16"/>
  <c r="M8" i="16" s="1"/>
  <c r="J9" i="16"/>
  <c r="H16" i="16"/>
  <c r="I55" i="16"/>
  <c r="S29" i="16"/>
  <c r="F40" i="16"/>
  <c r="AD9" i="16"/>
  <c r="AD8" i="16" s="1"/>
  <c r="H21" i="16"/>
  <c r="AE9" i="16"/>
  <c r="AE8" i="16" s="1"/>
  <c r="H40" i="16"/>
  <c r="H60" i="16"/>
  <c r="H24" i="16"/>
  <c r="L9" i="16"/>
  <c r="L8" i="16" s="1"/>
  <c r="L29" i="16"/>
  <c r="X8" i="16"/>
  <c r="X29" i="16"/>
  <c r="H18" i="16"/>
  <c r="T29" i="16"/>
  <c r="T9" i="16"/>
  <c r="T8" i="16" s="1"/>
  <c r="AC9" i="16"/>
  <c r="AC8" i="16" s="1"/>
  <c r="AC29" i="16"/>
  <c r="I44" i="16"/>
  <c r="H44" i="16"/>
  <c r="Q9" i="16"/>
  <c r="Q8" i="16" s="1"/>
  <c r="Q29" i="16"/>
  <c r="I49" i="16"/>
  <c r="H49" i="16"/>
  <c r="P29" i="16"/>
  <c r="P9" i="16"/>
  <c r="P8" i="16" s="1"/>
  <c r="H55" i="16"/>
  <c r="I56" i="16"/>
  <c r="H56" i="16"/>
  <c r="I51" i="16"/>
  <c r="H51" i="16"/>
  <c r="K8" i="16"/>
  <c r="I12" i="16"/>
  <c r="H12" i="16"/>
  <c r="AF29" i="16"/>
  <c r="AF9" i="16"/>
  <c r="AF8" i="16" s="1"/>
  <c r="H48" i="16"/>
  <c r="AB9" i="16"/>
  <c r="AB8" i="16" s="1"/>
  <c r="AB29" i="16"/>
  <c r="AG29" i="16"/>
  <c r="AG9" i="16"/>
  <c r="AG8" i="16" s="1"/>
  <c r="U29" i="16"/>
  <c r="U9" i="16"/>
  <c r="U8" i="16" s="1"/>
  <c r="H13" i="16"/>
  <c r="G30" i="16"/>
  <c r="I13" i="16"/>
  <c r="D43" i="5"/>
  <c r="E43" i="5"/>
  <c r="G43" i="5"/>
  <c r="F43" i="5" s="1"/>
  <c r="G85" i="5"/>
  <c r="E85" i="5"/>
  <c r="D85" i="5"/>
  <c r="G84" i="5"/>
  <c r="F84" i="5" s="1"/>
  <c r="E84" i="5"/>
  <c r="D84" i="5"/>
  <c r="G83" i="5"/>
  <c r="E83" i="5"/>
  <c r="D83" i="5"/>
  <c r="AG82" i="5"/>
  <c r="AF82" i="5"/>
  <c r="AE82" i="5"/>
  <c r="AD82" i="5"/>
  <c r="AC82" i="5"/>
  <c r="AB82" i="5"/>
  <c r="AA82" i="5"/>
  <c r="Z82" i="5"/>
  <c r="Y82" i="5"/>
  <c r="X82" i="5"/>
  <c r="W82" i="5"/>
  <c r="V82" i="5"/>
  <c r="U82" i="5"/>
  <c r="T82" i="5"/>
  <c r="S82" i="5"/>
  <c r="R82" i="5"/>
  <c r="Q82" i="5"/>
  <c r="P82" i="5"/>
  <c r="O82" i="5"/>
  <c r="N82" i="5"/>
  <c r="M82" i="5"/>
  <c r="L82" i="5"/>
  <c r="K82" i="5"/>
  <c r="J82" i="5"/>
  <c r="G80" i="5"/>
  <c r="E80" i="5"/>
  <c r="D80" i="5"/>
  <c r="G79" i="5"/>
  <c r="F79" i="5" s="1"/>
  <c r="E79" i="5"/>
  <c r="D79" i="5"/>
  <c r="G78" i="5"/>
  <c r="F78" i="5" s="1"/>
  <c r="E78" i="5"/>
  <c r="D78" i="5"/>
  <c r="G77" i="5"/>
  <c r="F77" i="5" s="1"/>
  <c r="E77" i="5"/>
  <c r="D77" i="5"/>
  <c r="AG76" i="5"/>
  <c r="AF76" i="5"/>
  <c r="AE76" i="5"/>
  <c r="AD76" i="5"/>
  <c r="AC76" i="5"/>
  <c r="AB76" i="5"/>
  <c r="AA76" i="5"/>
  <c r="Z76" i="5"/>
  <c r="Y76" i="5"/>
  <c r="X76" i="5"/>
  <c r="W76" i="5"/>
  <c r="V76" i="5"/>
  <c r="U76" i="5"/>
  <c r="T76" i="5"/>
  <c r="S76" i="5"/>
  <c r="R76" i="5"/>
  <c r="Q76" i="5"/>
  <c r="P76" i="5"/>
  <c r="N76" i="5"/>
  <c r="M76" i="5"/>
  <c r="L76" i="5"/>
  <c r="K76" i="5"/>
  <c r="J76" i="5"/>
  <c r="G74" i="5"/>
  <c r="E74" i="5"/>
  <c r="D74" i="5"/>
  <c r="G73" i="5"/>
  <c r="F73" i="5" s="1"/>
  <c r="D73" i="5"/>
  <c r="G72" i="5"/>
  <c r="F72" i="5" s="1"/>
  <c r="E72" i="5"/>
  <c r="D72" i="5"/>
  <c r="G71" i="5"/>
  <c r="E71" i="5"/>
  <c r="D71" i="5"/>
  <c r="AG70" i="5"/>
  <c r="AF70" i="5"/>
  <c r="AE70" i="5"/>
  <c r="AD70" i="5"/>
  <c r="AC70" i="5"/>
  <c r="AB70" i="5"/>
  <c r="AA70" i="5"/>
  <c r="Z70" i="5"/>
  <c r="Y70" i="5"/>
  <c r="X70" i="5"/>
  <c r="W70" i="5"/>
  <c r="V70" i="5"/>
  <c r="U70" i="5"/>
  <c r="T70" i="5"/>
  <c r="S70" i="5"/>
  <c r="R70" i="5"/>
  <c r="Q70" i="5"/>
  <c r="P70" i="5"/>
  <c r="O70" i="5"/>
  <c r="N70" i="5"/>
  <c r="M70" i="5"/>
  <c r="L70" i="5"/>
  <c r="K70" i="5"/>
  <c r="J70" i="5"/>
  <c r="G69" i="5"/>
  <c r="E69" i="5"/>
  <c r="D69" i="5"/>
  <c r="G68" i="5"/>
  <c r="F68" i="5" s="1"/>
  <c r="E68" i="5"/>
  <c r="D68" i="5"/>
  <c r="G67" i="5"/>
  <c r="E67" i="5"/>
  <c r="D67" i="5"/>
  <c r="G66" i="5"/>
  <c r="F66" i="5" s="1"/>
  <c r="E66" i="5"/>
  <c r="D66" i="5"/>
  <c r="AG65" i="5"/>
  <c r="AF65" i="5"/>
  <c r="AE65" i="5"/>
  <c r="AD65" i="5"/>
  <c r="AC65" i="5"/>
  <c r="AB65" i="5"/>
  <c r="AA65" i="5"/>
  <c r="Z65" i="5"/>
  <c r="Y65" i="5"/>
  <c r="X65" i="5"/>
  <c r="W65" i="5"/>
  <c r="V65" i="5"/>
  <c r="U65" i="5"/>
  <c r="T65" i="5"/>
  <c r="S65" i="5"/>
  <c r="R65" i="5"/>
  <c r="Q65" i="5"/>
  <c r="P65" i="5"/>
  <c r="O65" i="5"/>
  <c r="N65" i="5"/>
  <c r="M65" i="5"/>
  <c r="L65" i="5"/>
  <c r="K65" i="5"/>
  <c r="J65" i="5"/>
  <c r="G64" i="5"/>
  <c r="E64" i="5"/>
  <c r="D64" i="5"/>
  <c r="AG63" i="5"/>
  <c r="AF63" i="5"/>
  <c r="AE63" i="5"/>
  <c r="AD63" i="5"/>
  <c r="AC63" i="5"/>
  <c r="AB63" i="5"/>
  <c r="AA63" i="5"/>
  <c r="Z63" i="5"/>
  <c r="Y63" i="5"/>
  <c r="X63" i="5"/>
  <c r="W63" i="5"/>
  <c r="V63" i="5"/>
  <c r="U63" i="5"/>
  <c r="T63" i="5"/>
  <c r="S63" i="5"/>
  <c r="R63" i="5"/>
  <c r="Q63" i="5"/>
  <c r="P63" i="5"/>
  <c r="O63" i="5"/>
  <c r="N63" i="5"/>
  <c r="M63" i="5"/>
  <c r="L63" i="5"/>
  <c r="K63" i="5"/>
  <c r="J63" i="5"/>
  <c r="E63" i="5" s="1"/>
  <c r="AG62" i="5"/>
  <c r="AF62" i="5"/>
  <c r="AE62" i="5"/>
  <c r="AD62" i="5"/>
  <c r="AC62" i="5"/>
  <c r="AB62" i="5"/>
  <c r="AA62" i="5"/>
  <c r="Z62" i="5"/>
  <c r="Y62" i="5"/>
  <c r="X62" i="5"/>
  <c r="W62" i="5"/>
  <c r="V62" i="5"/>
  <c r="U62" i="5"/>
  <c r="T62" i="5"/>
  <c r="S62" i="5"/>
  <c r="R62" i="5"/>
  <c r="Q62" i="5"/>
  <c r="P62" i="5"/>
  <c r="O62" i="5"/>
  <c r="N62" i="5"/>
  <c r="M62" i="5"/>
  <c r="L62" i="5"/>
  <c r="K62" i="5"/>
  <c r="J62" i="5"/>
  <c r="E62" i="5" s="1"/>
  <c r="AG61" i="5"/>
  <c r="AF61" i="5"/>
  <c r="AE61" i="5"/>
  <c r="AE60" i="5" s="1"/>
  <c r="AD61" i="5"/>
  <c r="AC61" i="5"/>
  <c r="AC60" i="5" s="1"/>
  <c r="AB61" i="5"/>
  <c r="AA61" i="5"/>
  <c r="Z61" i="5"/>
  <c r="Y61" i="5"/>
  <c r="X61" i="5"/>
  <c r="W61" i="5"/>
  <c r="W60" i="5" s="1"/>
  <c r="V61" i="5"/>
  <c r="U61" i="5"/>
  <c r="T61" i="5"/>
  <c r="S61" i="5"/>
  <c r="R61" i="5"/>
  <c r="R60" i="5" s="1"/>
  <c r="Q61" i="5"/>
  <c r="P61" i="5"/>
  <c r="O61" i="5"/>
  <c r="O60" i="5" s="1"/>
  <c r="N61" i="5"/>
  <c r="M61" i="5"/>
  <c r="M60" i="5" s="1"/>
  <c r="L61" i="5"/>
  <c r="K61" i="5"/>
  <c r="J61" i="5"/>
  <c r="E61" i="5" s="1"/>
  <c r="G58" i="5"/>
  <c r="F58" i="5" s="1"/>
  <c r="E58" i="5"/>
  <c r="D58" i="5"/>
  <c r="G57" i="5"/>
  <c r="F57" i="5" s="1"/>
  <c r="E57" i="5"/>
  <c r="D57" i="5"/>
  <c r="G56" i="5"/>
  <c r="F56" i="5" s="1"/>
  <c r="E56" i="5"/>
  <c r="D56" i="5"/>
  <c r="G55" i="5"/>
  <c r="F55" i="5" s="1"/>
  <c r="E55" i="5"/>
  <c r="D55" i="5"/>
  <c r="AG54" i="5"/>
  <c r="AF54" i="5"/>
  <c r="AE54" i="5"/>
  <c r="AD54" i="5"/>
  <c r="AC54" i="5"/>
  <c r="AB54" i="5"/>
  <c r="AA54" i="5"/>
  <c r="Z54" i="5"/>
  <c r="Y54" i="5"/>
  <c r="X54" i="5"/>
  <c r="W54" i="5"/>
  <c r="V54" i="5"/>
  <c r="U54" i="5"/>
  <c r="T54" i="5"/>
  <c r="S54" i="5"/>
  <c r="R54" i="5"/>
  <c r="Q54" i="5"/>
  <c r="P54" i="5"/>
  <c r="O54" i="5"/>
  <c r="N54" i="5"/>
  <c r="M54" i="5"/>
  <c r="L54" i="5"/>
  <c r="K54" i="5"/>
  <c r="J54" i="5"/>
  <c r="G53" i="5"/>
  <c r="F53" i="5" s="1"/>
  <c r="E53" i="5"/>
  <c r="D53" i="5"/>
  <c r="G52" i="5"/>
  <c r="E52" i="5"/>
  <c r="D52" i="5"/>
  <c r="G51" i="5"/>
  <c r="F51" i="5" s="1"/>
  <c r="E51" i="5"/>
  <c r="D51" i="5"/>
  <c r="G50" i="5"/>
  <c r="E50" i="5"/>
  <c r="D50" i="5"/>
  <c r="AG49" i="5"/>
  <c r="AF49" i="5"/>
  <c r="AE49" i="5"/>
  <c r="AD49" i="5"/>
  <c r="AC49" i="5"/>
  <c r="AB49" i="5"/>
  <c r="AA49" i="5"/>
  <c r="Z49" i="5"/>
  <c r="Y49" i="5"/>
  <c r="X49" i="5"/>
  <c r="W49" i="5"/>
  <c r="V49" i="5"/>
  <c r="U49" i="5"/>
  <c r="T49" i="5"/>
  <c r="S49" i="5"/>
  <c r="R49" i="5"/>
  <c r="Q49" i="5"/>
  <c r="P49" i="5"/>
  <c r="O49" i="5"/>
  <c r="N49" i="5"/>
  <c r="M49" i="5"/>
  <c r="L49" i="5"/>
  <c r="K49" i="5"/>
  <c r="J49" i="5"/>
  <c r="G48" i="5"/>
  <c r="E48" i="5"/>
  <c r="D48" i="5"/>
  <c r="G47" i="5"/>
  <c r="F47" i="5" s="1"/>
  <c r="E47" i="5"/>
  <c r="D47" i="5"/>
  <c r="G46" i="5"/>
  <c r="F46" i="5" s="1"/>
  <c r="E46" i="5"/>
  <c r="D46" i="5"/>
  <c r="G45" i="5"/>
  <c r="F45" i="5" s="1"/>
  <c r="E45" i="5"/>
  <c r="D45" i="5"/>
  <c r="AG44" i="5"/>
  <c r="AF44" i="5"/>
  <c r="AE44" i="5"/>
  <c r="AD44" i="5"/>
  <c r="AC44" i="5"/>
  <c r="AB44" i="5"/>
  <c r="AA44" i="5"/>
  <c r="Z44" i="5"/>
  <c r="Y44" i="5"/>
  <c r="X44" i="5"/>
  <c r="W44" i="5"/>
  <c r="V44" i="5"/>
  <c r="U44" i="5"/>
  <c r="T44" i="5"/>
  <c r="S44" i="5"/>
  <c r="R44" i="5"/>
  <c r="Q44" i="5"/>
  <c r="P44" i="5"/>
  <c r="O44" i="5"/>
  <c r="N44" i="5"/>
  <c r="M44" i="5"/>
  <c r="L44" i="5"/>
  <c r="K44" i="5"/>
  <c r="J44" i="5"/>
  <c r="G42" i="5"/>
  <c r="E42" i="5"/>
  <c r="D42" i="5"/>
  <c r="G41" i="5"/>
  <c r="F41" i="5" s="1"/>
  <c r="E41" i="5"/>
  <c r="D41" i="5"/>
  <c r="G40" i="5"/>
  <c r="F40" i="5" s="1"/>
  <c r="E40" i="5"/>
  <c r="D40" i="5"/>
  <c r="AG39" i="5"/>
  <c r="AF39" i="5"/>
  <c r="AE39" i="5"/>
  <c r="AD39" i="5"/>
  <c r="AC39" i="5"/>
  <c r="AB39" i="5"/>
  <c r="AA39" i="5"/>
  <c r="Z39" i="5"/>
  <c r="Y39" i="5"/>
  <c r="X39" i="5"/>
  <c r="W39" i="5"/>
  <c r="V39" i="5"/>
  <c r="U39" i="5"/>
  <c r="T39" i="5"/>
  <c r="S39" i="5"/>
  <c r="R39" i="5"/>
  <c r="Q39" i="5"/>
  <c r="P39" i="5"/>
  <c r="O39" i="5"/>
  <c r="N39" i="5"/>
  <c r="M39" i="5"/>
  <c r="L39" i="5"/>
  <c r="K39" i="5"/>
  <c r="J39" i="5"/>
  <c r="G38" i="5"/>
  <c r="E38" i="5"/>
  <c r="D38" i="5"/>
  <c r="G37" i="5"/>
  <c r="F37" i="5" s="1"/>
  <c r="E37" i="5"/>
  <c r="D37" i="5"/>
  <c r="G36" i="5"/>
  <c r="F36" i="5" s="1"/>
  <c r="E36" i="5"/>
  <c r="D36" i="5"/>
  <c r="G35" i="5"/>
  <c r="F35" i="5" s="1"/>
  <c r="E35" i="5"/>
  <c r="D35" i="5"/>
  <c r="AG34" i="5"/>
  <c r="AF34" i="5"/>
  <c r="AE34" i="5"/>
  <c r="AD34" i="5"/>
  <c r="AC34" i="5"/>
  <c r="AB34" i="5"/>
  <c r="AA34" i="5"/>
  <c r="Z34" i="5"/>
  <c r="Y34" i="5"/>
  <c r="X34" i="5"/>
  <c r="W34" i="5"/>
  <c r="V34" i="5"/>
  <c r="U34" i="5"/>
  <c r="T34" i="5"/>
  <c r="S34" i="5"/>
  <c r="R34" i="5"/>
  <c r="Q34" i="5"/>
  <c r="P34" i="5"/>
  <c r="O34" i="5"/>
  <c r="N34" i="5"/>
  <c r="M34" i="5"/>
  <c r="L34" i="5"/>
  <c r="K34" i="5"/>
  <c r="J34" i="5"/>
  <c r="G33" i="5"/>
  <c r="F33" i="5" s="1"/>
  <c r="E33" i="5"/>
  <c r="D33" i="5"/>
  <c r="G32" i="5"/>
  <c r="F32" i="5" s="1"/>
  <c r="E32" i="5"/>
  <c r="G31" i="5"/>
  <c r="F31" i="5" s="1"/>
  <c r="E31" i="5"/>
  <c r="D31" i="5"/>
  <c r="G30" i="5"/>
  <c r="F30" i="5" s="1"/>
  <c r="E30" i="5"/>
  <c r="D30" i="5"/>
  <c r="AG29" i="5"/>
  <c r="AF29" i="5"/>
  <c r="AE29" i="5"/>
  <c r="AD29" i="5"/>
  <c r="AC29" i="5"/>
  <c r="AB29" i="5"/>
  <c r="AA29" i="5"/>
  <c r="Z29" i="5"/>
  <c r="Y29" i="5"/>
  <c r="X29" i="5"/>
  <c r="W29" i="5"/>
  <c r="V29" i="5"/>
  <c r="U29" i="5"/>
  <c r="T29" i="5"/>
  <c r="S29" i="5"/>
  <c r="R29" i="5"/>
  <c r="Q29" i="5"/>
  <c r="P29" i="5"/>
  <c r="O29" i="5"/>
  <c r="N29" i="5"/>
  <c r="M29" i="5"/>
  <c r="L29" i="5"/>
  <c r="K29" i="5"/>
  <c r="J29" i="5"/>
  <c r="G28" i="5"/>
  <c r="E28" i="5"/>
  <c r="D28" i="5"/>
  <c r="F27" i="5"/>
  <c r="E27" i="5"/>
  <c r="I27" i="5" s="1"/>
  <c r="D27" i="5"/>
  <c r="G26" i="5"/>
  <c r="E26" i="5"/>
  <c r="D26" i="5"/>
  <c r="G25" i="5"/>
  <c r="E25" i="5"/>
  <c r="D25" i="5"/>
  <c r="AG24" i="5"/>
  <c r="AF24" i="5"/>
  <c r="AE24" i="5"/>
  <c r="AD24" i="5"/>
  <c r="AC24" i="5"/>
  <c r="AB24" i="5"/>
  <c r="AA24" i="5"/>
  <c r="Z24" i="5"/>
  <c r="Y24" i="5"/>
  <c r="X24" i="5"/>
  <c r="W24" i="5"/>
  <c r="V24" i="5"/>
  <c r="U24" i="5"/>
  <c r="T24" i="5"/>
  <c r="S24" i="5"/>
  <c r="R24" i="5"/>
  <c r="Q24" i="5"/>
  <c r="P24" i="5"/>
  <c r="O24" i="5"/>
  <c r="N24" i="5"/>
  <c r="M24" i="5"/>
  <c r="L24" i="5"/>
  <c r="J24" i="5"/>
  <c r="AG23" i="5"/>
  <c r="AG18" i="5" s="1"/>
  <c r="AG12" i="5" s="1"/>
  <c r="AF23" i="5"/>
  <c r="AF18" i="5" s="1"/>
  <c r="AF12" i="5" s="1"/>
  <c r="AE23" i="5"/>
  <c r="AD23" i="5"/>
  <c r="AD18" i="5" s="1"/>
  <c r="AD12" i="5" s="1"/>
  <c r="AC23" i="5"/>
  <c r="AB23" i="5"/>
  <c r="AB18" i="5" s="1"/>
  <c r="AA23" i="5"/>
  <c r="AA18" i="5" s="1"/>
  <c r="Z23" i="5"/>
  <c r="Z18" i="5" s="1"/>
  <c r="Z12" i="5" s="1"/>
  <c r="Y23" i="5"/>
  <c r="Y18" i="5" s="1"/>
  <c r="Y12" i="5" s="1"/>
  <c r="X23" i="5"/>
  <c r="X18" i="5" s="1"/>
  <c r="X12" i="5" s="1"/>
  <c r="W23" i="5"/>
  <c r="W18" i="5" s="1"/>
  <c r="W12" i="5" s="1"/>
  <c r="V23" i="5"/>
  <c r="V18" i="5" s="1"/>
  <c r="V12" i="5" s="1"/>
  <c r="U23" i="5"/>
  <c r="T23" i="5"/>
  <c r="T18" i="5" s="1"/>
  <c r="S23" i="5"/>
  <c r="S18" i="5" s="1"/>
  <c r="S12" i="5" s="1"/>
  <c r="R23" i="5"/>
  <c r="R18" i="5" s="1"/>
  <c r="R12" i="5" s="1"/>
  <c r="Q23" i="5"/>
  <c r="Q18" i="5" s="1"/>
  <c r="Q12" i="5" s="1"/>
  <c r="P23" i="5"/>
  <c r="P18" i="5" s="1"/>
  <c r="P12" i="5" s="1"/>
  <c r="O23" i="5"/>
  <c r="N23" i="5"/>
  <c r="M23" i="5"/>
  <c r="L23" i="5"/>
  <c r="K23" i="5"/>
  <c r="K18" i="5" s="1"/>
  <c r="J23" i="5"/>
  <c r="E23" i="5" s="1"/>
  <c r="AG22" i="5"/>
  <c r="AG17" i="5" s="1"/>
  <c r="AF22" i="5"/>
  <c r="AF17" i="5" s="1"/>
  <c r="AE22" i="5"/>
  <c r="AE17" i="5" s="1"/>
  <c r="AD22" i="5"/>
  <c r="AD17" i="5" s="1"/>
  <c r="AC22" i="5"/>
  <c r="AC17" i="5" s="1"/>
  <c r="AB22" i="5"/>
  <c r="AB17" i="5" s="1"/>
  <c r="AA22" i="5"/>
  <c r="AA17" i="5" s="1"/>
  <c r="Z22" i="5"/>
  <c r="Y22" i="5"/>
  <c r="Y17" i="5" s="1"/>
  <c r="X22" i="5"/>
  <c r="X17" i="5" s="1"/>
  <c r="W22" i="5"/>
  <c r="W17" i="5" s="1"/>
  <c r="V22" i="5"/>
  <c r="V17" i="5" s="1"/>
  <c r="U22" i="5"/>
  <c r="U17" i="5" s="1"/>
  <c r="T22" i="5"/>
  <c r="T17" i="5" s="1"/>
  <c r="S22" i="5"/>
  <c r="S17" i="5" s="1"/>
  <c r="R22" i="5"/>
  <c r="Q22" i="5"/>
  <c r="Q17" i="5" s="1"/>
  <c r="P22" i="5"/>
  <c r="P17" i="5" s="1"/>
  <c r="O22" i="5"/>
  <c r="O17" i="5" s="1"/>
  <c r="N22" i="5"/>
  <c r="N17" i="5" s="1"/>
  <c r="M22" i="5"/>
  <c r="M17" i="5" s="1"/>
  <c r="L22" i="5"/>
  <c r="L17" i="5" s="1"/>
  <c r="K22" i="5"/>
  <c r="K17" i="5" s="1"/>
  <c r="J22" i="5"/>
  <c r="AG21" i="5"/>
  <c r="AG16" i="5" s="1"/>
  <c r="AF21" i="5"/>
  <c r="AE21" i="5"/>
  <c r="AE16" i="5" s="1"/>
  <c r="AD21" i="5"/>
  <c r="AD16" i="5" s="1"/>
  <c r="AC21" i="5"/>
  <c r="AC16" i="5" s="1"/>
  <c r="AB21" i="5"/>
  <c r="AA21" i="5"/>
  <c r="AA16" i="5" s="1"/>
  <c r="Z21" i="5"/>
  <c r="Z16" i="5" s="1"/>
  <c r="Y21" i="5"/>
  <c r="X21" i="5"/>
  <c r="W21" i="5"/>
  <c r="W16" i="5" s="1"/>
  <c r="V21" i="5"/>
  <c r="U21" i="5"/>
  <c r="U16" i="5" s="1"/>
  <c r="T21" i="5"/>
  <c r="S21" i="5"/>
  <c r="S16" i="5" s="1"/>
  <c r="R21" i="5"/>
  <c r="R16" i="5" s="1"/>
  <c r="Q21" i="5"/>
  <c r="P21" i="5"/>
  <c r="O21" i="5"/>
  <c r="O16" i="5" s="1"/>
  <c r="N21" i="5"/>
  <c r="N16" i="5" s="1"/>
  <c r="M21" i="5"/>
  <c r="M16" i="5" s="1"/>
  <c r="L21" i="5"/>
  <c r="K21" i="5"/>
  <c r="K16" i="5" s="1"/>
  <c r="J21" i="5"/>
  <c r="E21" i="5" s="1"/>
  <c r="AG20" i="5"/>
  <c r="AG15" i="5" s="1"/>
  <c r="E20" i="5"/>
  <c r="D20" i="5"/>
  <c r="AF15" i="5"/>
  <c r="AE15" i="5"/>
  <c r="AD15" i="5"/>
  <c r="AC15" i="5"/>
  <c r="AB15" i="5"/>
  <c r="AA15" i="5"/>
  <c r="Z15" i="5"/>
  <c r="Y15" i="5"/>
  <c r="X15" i="5"/>
  <c r="W15" i="5"/>
  <c r="V15" i="5"/>
  <c r="U15" i="5"/>
  <c r="T15" i="5"/>
  <c r="S15" i="5"/>
  <c r="R15" i="5"/>
  <c r="Q15" i="5"/>
  <c r="P15" i="5"/>
  <c r="O15" i="5"/>
  <c r="N15" i="5"/>
  <c r="M15" i="5"/>
  <c r="L15" i="5"/>
  <c r="K15" i="5"/>
  <c r="J15" i="5"/>
  <c r="E15" i="5" s="1"/>
  <c r="F10" i="16" l="1"/>
  <c r="I10" i="16"/>
  <c r="E8" i="16"/>
  <c r="D8" i="16"/>
  <c r="Y8" i="16"/>
  <c r="V8" i="16"/>
  <c r="H34" i="16"/>
  <c r="Z8" i="16"/>
  <c r="U60" i="5"/>
  <c r="Z60" i="5"/>
  <c r="N60" i="5"/>
  <c r="AD60" i="5"/>
  <c r="V60" i="5"/>
  <c r="H47" i="16"/>
  <c r="T11" i="5"/>
  <c r="AF11" i="5"/>
  <c r="K10" i="5"/>
  <c r="S10" i="5"/>
  <c r="AA10" i="5"/>
  <c r="O11" i="5"/>
  <c r="S11" i="5"/>
  <c r="W11" i="5"/>
  <c r="AA11" i="5"/>
  <c r="Z10" i="5"/>
  <c r="Q11" i="5"/>
  <c r="L60" i="5"/>
  <c r="AG10" i="5"/>
  <c r="X11" i="5"/>
  <c r="U10" i="5"/>
  <c r="L11" i="5"/>
  <c r="M10" i="5"/>
  <c r="M11" i="5"/>
  <c r="Y11" i="5"/>
  <c r="U11" i="5"/>
  <c r="AG11" i="5"/>
  <c r="H54" i="16"/>
  <c r="J8" i="16"/>
  <c r="V19" i="5"/>
  <c r="P11" i="5"/>
  <c r="AB11" i="5"/>
  <c r="K9" i="5"/>
  <c r="H77" i="5"/>
  <c r="X9" i="5"/>
  <c r="L9" i="5"/>
  <c r="AF9" i="5"/>
  <c r="P9" i="5"/>
  <c r="L19" i="5"/>
  <c r="X19" i="5"/>
  <c r="AD10" i="5"/>
  <c r="R10" i="5"/>
  <c r="E60" i="5"/>
  <c r="I69" i="5"/>
  <c r="Y9" i="5"/>
  <c r="I50" i="5"/>
  <c r="I80" i="5"/>
  <c r="E76" i="5"/>
  <c r="M9" i="5"/>
  <c r="O9" i="5"/>
  <c r="I64" i="5"/>
  <c r="I42" i="5"/>
  <c r="I47" i="5"/>
  <c r="I25" i="5"/>
  <c r="H53" i="5"/>
  <c r="I71" i="5"/>
  <c r="AG9" i="5"/>
  <c r="Y19" i="5"/>
  <c r="T19" i="5"/>
  <c r="Q19" i="5"/>
  <c r="AB19" i="5"/>
  <c r="G20" i="5"/>
  <c r="F20" i="5" s="1"/>
  <c r="I28" i="5"/>
  <c r="AF19" i="5"/>
  <c r="AC10" i="5"/>
  <c r="AC11" i="5"/>
  <c r="Q9" i="5"/>
  <c r="AC9" i="5"/>
  <c r="I33" i="5"/>
  <c r="D39" i="5"/>
  <c r="I77" i="5"/>
  <c r="H31" i="5"/>
  <c r="H47" i="5"/>
  <c r="I30" i="16"/>
  <c r="H30" i="16"/>
  <c r="F30" i="16"/>
  <c r="F29" i="16" s="1"/>
  <c r="G29" i="16"/>
  <c r="Q16" i="5"/>
  <c r="Q10" i="5" s="1"/>
  <c r="Y16" i="5"/>
  <c r="Y10" i="5" s="1"/>
  <c r="T16" i="5"/>
  <c r="T10" i="5" s="1"/>
  <c r="I26" i="5"/>
  <c r="AD19" i="5"/>
  <c r="J16" i="5"/>
  <c r="J10" i="5" s="1"/>
  <c r="E10" i="5" s="1"/>
  <c r="I35" i="5"/>
  <c r="J18" i="5"/>
  <c r="E18" i="5" s="1"/>
  <c r="I43" i="5"/>
  <c r="I57" i="5"/>
  <c r="N10" i="5"/>
  <c r="N11" i="5"/>
  <c r="V11" i="5"/>
  <c r="AD11" i="5"/>
  <c r="H72" i="5"/>
  <c r="I85" i="5"/>
  <c r="H27" i="5"/>
  <c r="I38" i="5"/>
  <c r="I52" i="5"/>
  <c r="I74" i="5"/>
  <c r="H43" i="5"/>
  <c r="AE11" i="5"/>
  <c r="I72" i="5"/>
  <c r="V16" i="5"/>
  <c r="V10" i="5" s="1"/>
  <c r="D24" i="5"/>
  <c r="I67" i="5"/>
  <c r="E24" i="5"/>
  <c r="I31" i="5"/>
  <c r="E39" i="5"/>
  <c r="H51" i="5"/>
  <c r="H57" i="5"/>
  <c r="H35" i="5"/>
  <c r="I37" i="5"/>
  <c r="I51" i="5"/>
  <c r="H55" i="5"/>
  <c r="F71" i="5"/>
  <c r="G17" i="5"/>
  <c r="F17" i="5" s="1"/>
  <c r="K11" i="5"/>
  <c r="E44" i="5"/>
  <c r="I83" i="5"/>
  <c r="M19" i="5"/>
  <c r="U19" i="5"/>
  <c r="AC19" i="5"/>
  <c r="F25" i="5"/>
  <c r="I32" i="5"/>
  <c r="H41" i="5"/>
  <c r="D62" i="5"/>
  <c r="I68" i="5"/>
  <c r="H79" i="5"/>
  <c r="D82" i="5"/>
  <c r="W9" i="5"/>
  <c r="L16" i="5"/>
  <c r="L10" i="5" s="1"/>
  <c r="I30" i="5"/>
  <c r="H37" i="5"/>
  <c r="I41" i="5"/>
  <c r="I53" i="5"/>
  <c r="H67" i="5"/>
  <c r="I79" i="5"/>
  <c r="E82" i="5"/>
  <c r="H25" i="5"/>
  <c r="D21" i="5"/>
  <c r="I48" i="5"/>
  <c r="F67" i="5"/>
  <c r="J9" i="5"/>
  <c r="E9" i="5" s="1"/>
  <c r="AE9" i="5"/>
  <c r="F28" i="5"/>
  <c r="H33" i="5"/>
  <c r="I40" i="5"/>
  <c r="F42" i="5"/>
  <c r="F39" i="5" s="1"/>
  <c r="I46" i="5"/>
  <c r="F52" i="5"/>
  <c r="F64" i="5"/>
  <c r="G76" i="5"/>
  <c r="AB16" i="5"/>
  <c r="AB10" i="5" s="1"/>
  <c r="G24" i="5"/>
  <c r="G34" i="5"/>
  <c r="F38" i="5"/>
  <c r="F34" i="5" s="1"/>
  <c r="G62" i="5"/>
  <c r="I62" i="5" s="1"/>
  <c r="H68" i="5"/>
  <c r="H45" i="5"/>
  <c r="I45" i="5"/>
  <c r="AC18" i="5"/>
  <c r="AC12" i="5" s="1"/>
  <c r="M18" i="5"/>
  <c r="M12" i="5" s="1"/>
  <c r="G44" i="5"/>
  <c r="D44" i="5"/>
  <c r="F48" i="5"/>
  <c r="F44" i="5" s="1"/>
  <c r="U18" i="5"/>
  <c r="U12" i="5" s="1"/>
  <c r="AG19" i="5"/>
  <c r="O19" i="5"/>
  <c r="K19" i="5"/>
  <c r="S19" i="5"/>
  <c r="AA19" i="5"/>
  <c r="G21" i="5"/>
  <c r="F21" i="5" s="1"/>
  <c r="F50" i="5"/>
  <c r="AE19" i="5"/>
  <c r="N19" i="5"/>
  <c r="AA12" i="5"/>
  <c r="AA14" i="5"/>
  <c r="AE18" i="5"/>
  <c r="AE12" i="5" s="1"/>
  <c r="W19" i="5"/>
  <c r="N18" i="5"/>
  <c r="N12" i="5" s="1"/>
  <c r="J19" i="5"/>
  <c r="R19" i="5"/>
  <c r="Z19" i="5"/>
  <c r="O18" i="5"/>
  <c r="O12" i="5" s="1"/>
  <c r="D23" i="5"/>
  <c r="S14" i="5"/>
  <c r="G23" i="5"/>
  <c r="I23" i="5" s="1"/>
  <c r="T9" i="5"/>
  <c r="D15" i="5"/>
  <c r="I55" i="5"/>
  <c r="S9" i="5"/>
  <c r="AA9" i="5"/>
  <c r="AB9" i="5"/>
  <c r="K14" i="5"/>
  <c r="AG14" i="5"/>
  <c r="AD14" i="5"/>
  <c r="F54" i="5"/>
  <c r="G54" i="5"/>
  <c r="D54" i="5"/>
  <c r="I58" i="5"/>
  <c r="W14" i="5"/>
  <c r="H64" i="5"/>
  <c r="I66" i="5"/>
  <c r="Z9" i="5"/>
  <c r="G65" i="5"/>
  <c r="R9" i="5"/>
  <c r="T60" i="5"/>
  <c r="H66" i="5"/>
  <c r="D65" i="5"/>
  <c r="F69" i="5"/>
  <c r="E65" i="5"/>
  <c r="AB60" i="5"/>
  <c r="E70" i="5"/>
  <c r="X60" i="5"/>
  <c r="AF60" i="5"/>
  <c r="G61" i="5"/>
  <c r="Q60" i="5"/>
  <c r="Y60" i="5"/>
  <c r="AG60" i="5"/>
  <c r="H71" i="5"/>
  <c r="K60" i="5"/>
  <c r="S60" i="5"/>
  <c r="AA60" i="5"/>
  <c r="F74" i="5"/>
  <c r="H74" i="5"/>
  <c r="G70" i="5"/>
  <c r="F80" i="5"/>
  <c r="F76" i="5" s="1"/>
  <c r="I78" i="5"/>
  <c r="H84" i="5"/>
  <c r="I84" i="5"/>
  <c r="F83" i="5"/>
  <c r="T12" i="5"/>
  <c r="AB12" i="5"/>
  <c r="F29" i="5"/>
  <c r="P16" i="5"/>
  <c r="X16" i="5"/>
  <c r="AF16" i="5"/>
  <c r="J17" i="5"/>
  <c r="R17" i="5"/>
  <c r="R11" i="5" s="1"/>
  <c r="Z17" i="5"/>
  <c r="Z11" i="5" s="1"/>
  <c r="L18" i="5"/>
  <c r="U9" i="5"/>
  <c r="O10" i="5"/>
  <c r="W10" i="5"/>
  <c r="AE10" i="5"/>
  <c r="K12" i="5"/>
  <c r="G15" i="5"/>
  <c r="D22" i="5"/>
  <c r="H28" i="5"/>
  <c r="H32" i="5"/>
  <c r="D34" i="5"/>
  <c r="H36" i="5"/>
  <c r="H40" i="5"/>
  <c r="H48" i="5"/>
  <c r="H52" i="5"/>
  <c r="H56" i="5"/>
  <c r="D63" i="5"/>
  <c r="H69" i="5"/>
  <c r="H73" i="5"/>
  <c r="D76" i="5"/>
  <c r="H78" i="5"/>
  <c r="H83" i="5"/>
  <c r="N9" i="5"/>
  <c r="V9" i="5"/>
  <c r="AD9" i="5"/>
  <c r="P19" i="5"/>
  <c r="E22" i="5"/>
  <c r="E19" i="5" s="1"/>
  <c r="E34" i="5"/>
  <c r="I36" i="5"/>
  <c r="G39" i="5"/>
  <c r="E54" i="5"/>
  <c r="I56" i="5"/>
  <c r="I73" i="5"/>
  <c r="G82" i="5"/>
  <c r="F26" i="5"/>
  <c r="D29" i="5"/>
  <c r="D49" i="5"/>
  <c r="P60" i="5"/>
  <c r="D70" i="5"/>
  <c r="F85" i="5"/>
  <c r="G22" i="5"/>
  <c r="E29" i="5"/>
  <c r="E49" i="5"/>
  <c r="G63" i="5"/>
  <c r="H26" i="5"/>
  <c r="H30" i="5"/>
  <c r="H38" i="5"/>
  <c r="H42" i="5"/>
  <c r="H46" i="5"/>
  <c r="H50" i="5"/>
  <c r="H58" i="5"/>
  <c r="J60" i="5"/>
  <c r="D61" i="5"/>
  <c r="H80" i="5"/>
  <c r="H85" i="5"/>
  <c r="G29" i="5"/>
  <c r="G49" i="5"/>
  <c r="S8" i="5" l="1"/>
  <c r="AG8" i="5"/>
  <c r="I9" i="16"/>
  <c r="G11" i="5"/>
  <c r="F11" i="5" s="1"/>
  <c r="Y8" i="5"/>
  <c r="AD8" i="5"/>
  <c r="F62" i="5"/>
  <c r="I76" i="5"/>
  <c r="I20" i="5"/>
  <c r="M8" i="5"/>
  <c r="F70" i="5"/>
  <c r="H20" i="5"/>
  <c r="Q8" i="5"/>
  <c r="T14" i="5"/>
  <c r="E16" i="5"/>
  <c r="AC14" i="5"/>
  <c r="I44" i="5"/>
  <c r="H44" i="5"/>
  <c r="J12" i="5"/>
  <c r="E12" i="5" s="1"/>
  <c r="G16" i="5"/>
  <c r="F16" i="5" s="1"/>
  <c r="Q14" i="5"/>
  <c r="Y14" i="5"/>
  <c r="I24" i="5"/>
  <c r="AC8" i="5"/>
  <c r="W8" i="5"/>
  <c r="I34" i="5"/>
  <c r="H62" i="5"/>
  <c r="H9" i="16"/>
  <c r="F8" i="16"/>
  <c r="G8" i="16"/>
  <c r="I29" i="16"/>
  <c r="H29" i="16"/>
  <c r="J14" i="5"/>
  <c r="F24" i="5"/>
  <c r="M14" i="5"/>
  <c r="H24" i="5"/>
  <c r="AB14" i="5"/>
  <c r="H34" i="5"/>
  <c r="D19" i="5"/>
  <c r="AE14" i="5"/>
  <c r="AE8" i="5"/>
  <c r="N8" i="5"/>
  <c r="I70" i="5"/>
  <c r="I65" i="5"/>
  <c r="V14" i="5"/>
  <c r="U8" i="5"/>
  <c r="F65" i="5"/>
  <c r="AA8" i="5"/>
  <c r="I21" i="5"/>
  <c r="V8" i="5"/>
  <c r="Z8" i="5"/>
  <c r="F49" i="5"/>
  <c r="H76" i="5"/>
  <c r="H65" i="5"/>
  <c r="T8" i="5"/>
  <c r="N14" i="5"/>
  <c r="U14" i="5"/>
  <c r="H21" i="5"/>
  <c r="F23" i="5"/>
  <c r="H23" i="5"/>
  <c r="G12" i="5"/>
  <c r="F12" i="5" s="1"/>
  <c r="G18" i="5"/>
  <c r="I18" i="5" s="1"/>
  <c r="O14" i="5"/>
  <c r="AB8" i="5"/>
  <c r="I54" i="5"/>
  <c r="K8" i="5"/>
  <c r="H54" i="5"/>
  <c r="R8" i="5"/>
  <c r="I61" i="5"/>
  <c r="F61" i="5"/>
  <c r="G60" i="5"/>
  <c r="H70" i="5"/>
  <c r="G10" i="5"/>
  <c r="F10" i="5" s="1"/>
  <c r="F82" i="5"/>
  <c r="I82" i="5"/>
  <c r="H82" i="5"/>
  <c r="I22" i="5"/>
  <c r="H22" i="5"/>
  <c r="F22" i="5"/>
  <c r="E17" i="5"/>
  <c r="D17" i="5"/>
  <c r="J11" i="5"/>
  <c r="G19" i="5"/>
  <c r="AF14" i="5"/>
  <c r="AF10" i="5"/>
  <c r="AF8" i="5" s="1"/>
  <c r="X14" i="5"/>
  <c r="X10" i="5"/>
  <c r="X8" i="5" s="1"/>
  <c r="O8" i="5"/>
  <c r="I15" i="5"/>
  <c r="H15" i="5"/>
  <c r="F15" i="5"/>
  <c r="D16" i="5"/>
  <c r="P14" i="5"/>
  <c r="P10" i="5"/>
  <c r="Z14" i="5"/>
  <c r="H29" i="5"/>
  <c r="I29" i="5"/>
  <c r="D60" i="5"/>
  <c r="I39" i="5"/>
  <c r="H39" i="5"/>
  <c r="H61" i="5"/>
  <c r="G9" i="5"/>
  <c r="R14" i="5"/>
  <c r="I63" i="5"/>
  <c r="H63" i="5"/>
  <c r="F63" i="5"/>
  <c r="L12" i="5"/>
  <c r="D18" i="5"/>
  <c r="L14" i="5"/>
  <c r="D9" i="5"/>
  <c r="I49" i="5"/>
  <c r="H49" i="5"/>
  <c r="H16" i="5" l="1"/>
  <c r="I16" i="5"/>
  <c r="I8" i="16"/>
  <c r="H8" i="16"/>
  <c r="H60" i="5"/>
  <c r="I60" i="5"/>
  <c r="F60" i="5"/>
  <c r="I10" i="5"/>
  <c r="G14" i="5"/>
  <c r="I12" i="5"/>
  <c r="H18" i="5"/>
  <c r="F19" i="5"/>
  <c r="F18" i="5"/>
  <c r="F14" i="5" s="1"/>
  <c r="I9" i="5"/>
  <c r="G8" i="5"/>
  <c r="H9" i="5"/>
  <c r="F9" i="5"/>
  <c r="F8" i="5" s="1"/>
  <c r="P8" i="5"/>
  <c r="D10" i="5"/>
  <c r="H10" i="5" s="1"/>
  <c r="E11" i="5"/>
  <c r="D11" i="5"/>
  <c r="H11" i="5" s="1"/>
  <c r="J8" i="5"/>
  <c r="D14" i="5"/>
  <c r="H17" i="5"/>
  <c r="E14" i="5"/>
  <c r="I17" i="5"/>
  <c r="L8" i="5"/>
  <c r="D12" i="5"/>
  <c r="H12" i="5" s="1"/>
  <c r="I19" i="5"/>
  <c r="H19" i="5"/>
  <c r="I14" i="5" l="1"/>
  <c r="H14" i="5"/>
  <c r="E8" i="5"/>
  <c r="I8" i="5" s="1"/>
  <c r="I11" i="5"/>
  <c r="D8" i="5"/>
  <c r="H8" i="5" s="1"/>
  <c r="G107" i="1" l="1"/>
  <c r="E107" i="1"/>
  <c r="E106" i="1" s="1"/>
  <c r="D107" i="1"/>
  <c r="D106" i="1" s="1"/>
  <c r="AG106" i="1"/>
  <c r="AF106" i="1"/>
  <c r="AE106" i="1"/>
  <c r="AD106" i="1"/>
  <c r="AC106" i="1"/>
  <c r="AB106" i="1"/>
  <c r="AA106" i="1"/>
  <c r="Z106" i="1"/>
  <c r="Y106" i="1"/>
  <c r="X106" i="1"/>
  <c r="W106" i="1"/>
  <c r="V106" i="1"/>
  <c r="U106" i="1"/>
  <c r="T106" i="1"/>
  <c r="S106" i="1"/>
  <c r="R106" i="1"/>
  <c r="Q106" i="1"/>
  <c r="P106" i="1"/>
  <c r="O106" i="1"/>
  <c r="N106" i="1"/>
  <c r="M106" i="1"/>
  <c r="L106" i="1"/>
  <c r="K106" i="1"/>
  <c r="J106" i="1"/>
  <c r="G105" i="1"/>
  <c r="E104" i="1"/>
  <c r="D105" i="1"/>
  <c r="D104" i="1" s="1"/>
  <c r="AG104" i="1"/>
  <c r="AF104" i="1"/>
  <c r="AE104" i="1"/>
  <c r="AD104" i="1"/>
  <c r="AC104" i="1"/>
  <c r="AB104" i="1"/>
  <c r="AA104" i="1"/>
  <c r="Z104" i="1"/>
  <c r="Y104" i="1"/>
  <c r="X104" i="1"/>
  <c r="W104" i="1"/>
  <c r="V104" i="1"/>
  <c r="U104" i="1"/>
  <c r="T104" i="1"/>
  <c r="S104" i="1"/>
  <c r="R104" i="1"/>
  <c r="Q104" i="1"/>
  <c r="P104" i="1"/>
  <c r="O104" i="1"/>
  <c r="N104" i="1"/>
  <c r="M104" i="1"/>
  <c r="L104" i="1"/>
  <c r="K104" i="1"/>
  <c r="J104" i="1"/>
  <c r="AG103" i="1"/>
  <c r="AG102" i="1" s="1"/>
  <c r="AF103" i="1"/>
  <c r="AF102" i="1" s="1"/>
  <c r="AE103" i="1"/>
  <c r="AE102" i="1" s="1"/>
  <c r="AD103" i="1"/>
  <c r="AD102" i="1" s="1"/>
  <c r="AC103" i="1"/>
  <c r="AC102" i="1" s="1"/>
  <c r="AB103" i="1"/>
  <c r="AB102" i="1" s="1"/>
  <c r="AA103" i="1"/>
  <c r="AA102" i="1" s="1"/>
  <c r="Z103" i="1"/>
  <c r="Z102" i="1" s="1"/>
  <c r="Y103" i="1"/>
  <c r="Y102" i="1" s="1"/>
  <c r="X103" i="1"/>
  <c r="X102" i="1" s="1"/>
  <c r="W103" i="1"/>
  <c r="W102" i="1" s="1"/>
  <c r="V103" i="1"/>
  <c r="V102" i="1" s="1"/>
  <c r="U103" i="1"/>
  <c r="U102" i="1" s="1"/>
  <c r="T103" i="1"/>
  <c r="T102" i="1" s="1"/>
  <c r="S103" i="1"/>
  <c r="S102" i="1" s="1"/>
  <c r="R103" i="1"/>
  <c r="R102" i="1" s="1"/>
  <c r="Q103" i="1"/>
  <c r="Q102" i="1" s="1"/>
  <c r="P103" i="1"/>
  <c r="P102" i="1" s="1"/>
  <c r="O103" i="1"/>
  <c r="O102" i="1" s="1"/>
  <c r="N103" i="1"/>
  <c r="N102" i="1" s="1"/>
  <c r="M103" i="1"/>
  <c r="M102" i="1" s="1"/>
  <c r="L103" i="1"/>
  <c r="L102" i="1" s="1"/>
  <c r="K103" i="1"/>
  <c r="J103" i="1"/>
  <c r="G100" i="1"/>
  <c r="E100" i="1"/>
  <c r="E99" i="1" s="1"/>
  <c r="D100" i="1"/>
  <c r="D99" i="1" s="1"/>
  <c r="AG99" i="1"/>
  <c r="AF99" i="1"/>
  <c r="AE99" i="1"/>
  <c r="AD99" i="1"/>
  <c r="AC99" i="1"/>
  <c r="AB99" i="1"/>
  <c r="AA99" i="1"/>
  <c r="Z99" i="1"/>
  <c r="Y99" i="1"/>
  <c r="X99" i="1"/>
  <c r="W99" i="1"/>
  <c r="V99" i="1"/>
  <c r="U99" i="1"/>
  <c r="T99" i="1"/>
  <c r="S99" i="1"/>
  <c r="R99" i="1"/>
  <c r="Q99" i="1"/>
  <c r="P99" i="1"/>
  <c r="O99" i="1"/>
  <c r="N99" i="1"/>
  <c r="M99" i="1"/>
  <c r="L99" i="1"/>
  <c r="K99" i="1"/>
  <c r="J99" i="1"/>
  <c r="G98" i="1"/>
  <c r="E97" i="1"/>
  <c r="D98" i="1"/>
  <c r="D97" i="1" s="1"/>
  <c r="AG97" i="1"/>
  <c r="AF97" i="1"/>
  <c r="AE97" i="1"/>
  <c r="AD97" i="1"/>
  <c r="AC97" i="1"/>
  <c r="AB97" i="1"/>
  <c r="AA97" i="1"/>
  <c r="Z97" i="1"/>
  <c r="Y97" i="1"/>
  <c r="X97" i="1"/>
  <c r="W97" i="1"/>
  <c r="V97" i="1"/>
  <c r="U97" i="1"/>
  <c r="T97" i="1"/>
  <c r="S97" i="1"/>
  <c r="R97" i="1"/>
  <c r="Q97" i="1"/>
  <c r="P97" i="1"/>
  <c r="O97" i="1"/>
  <c r="N97" i="1"/>
  <c r="M97" i="1"/>
  <c r="L97" i="1"/>
  <c r="K97" i="1"/>
  <c r="J97" i="1"/>
  <c r="AG96" i="1"/>
  <c r="AG95" i="1" s="1"/>
  <c r="AF96" i="1"/>
  <c r="AF95" i="1" s="1"/>
  <c r="AE96" i="1"/>
  <c r="AE95" i="1" s="1"/>
  <c r="AD96" i="1"/>
  <c r="AD95" i="1" s="1"/>
  <c r="AC96" i="1"/>
  <c r="AC95" i="1" s="1"/>
  <c r="AB96" i="1"/>
  <c r="AB95" i="1" s="1"/>
  <c r="AA96" i="1"/>
  <c r="AA95" i="1" s="1"/>
  <c r="Z96" i="1"/>
  <c r="Z95" i="1" s="1"/>
  <c r="Y96" i="1"/>
  <c r="Y95" i="1" s="1"/>
  <c r="X96" i="1"/>
  <c r="X95" i="1" s="1"/>
  <c r="W96" i="1"/>
  <c r="W95" i="1" s="1"/>
  <c r="V96" i="1"/>
  <c r="V95" i="1" s="1"/>
  <c r="U96" i="1"/>
  <c r="U95" i="1" s="1"/>
  <c r="T95" i="1"/>
  <c r="S96" i="1"/>
  <c r="S95" i="1" s="1"/>
  <c r="R96" i="1"/>
  <c r="Q96" i="1"/>
  <c r="Q95" i="1" s="1"/>
  <c r="P96" i="1"/>
  <c r="P95" i="1" s="1"/>
  <c r="O96" i="1"/>
  <c r="O95" i="1" s="1"/>
  <c r="N96" i="1"/>
  <c r="N95" i="1" s="1"/>
  <c r="M96" i="1"/>
  <c r="M95" i="1" s="1"/>
  <c r="L96" i="1"/>
  <c r="L95" i="1" s="1"/>
  <c r="K96" i="1"/>
  <c r="K95" i="1" s="1"/>
  <c r="J96" i="1"/>
  <c r="G93" i="1"/>
  <c r="E93" i="1"/>
  <c r="E92" i="1" s="1"/>
  <c r="D93" i="1"/>
  <c r="D92" i="1" s="1"/>
  <c r="AG92" i="1"/>
  <c r="AF92" i="1"/>
  <c r="AE92" i="1"/>
  <c r="AD92" i="1"/>
  <c r="AC92" i="1"/>
  <c r="AB92" i="1"/>
  <c r="AA92" i="1"/>
  <c r="Z92" i="1"/>
  <c r="Y92" i="1"/>
  <c r="X92" i="1"/>
  <c r="W92" i="1"/>
  <c r="V92" i="1"/>
  <c r="U92" i="1"/>
  <c r="T92" i="1"/>
  <c r="S92" i="1"/>
  <c r="R92" i="1"/>
  <c r="Q92" i="1"/>
  <c r="P92" i="1"/>
  <c r="O92" i="1"/>
  <c r="N92" i="1"/>
  <c r="M92" i="1"/>
  <c r="L92" i="1"/>
  <c r="K92" i="1"/>
  <c r="J92" i="1"/>
  <c r="G91" i="1"/>
  <c r="E90" i="1"/>
  <c r="D91" i="1"/>
  <c r="D90" i="1" s="1"/>
  <c r="AG90" i="1"/>
  <c r="AF90" i="1"/>
  <c r="AE90" i="1"/>
  <c r="AD90" i="1"/>
  <c r="AC90" i="1"/>
  <c r="AB90" i="1"/>
  <c r="AA90" i="1"/>
  <c r="Z90" i="1"/>
  <c r="Y90" i="1"/>
  <c r="X90" i="1"/>
  <c r="W90" i="1"/>
  <c r="V90" i="1"/>
  <c r="U90" i="1"/>
  <c r="T90" i="1"/>
  <c r="S90" i="1"/>
  <c r="R90" i="1"/>
  <c r="Q90" i="1"/>
  <c r="P90" i="1"/>
  <c r="O90" i="1"/>
  <c r="N90" i="1"/>
  <c r="M90" i="1"/>
  <c r="L90" i="1"/>
  <c r="K90" i="1"/>
  <c r="J90" i="1"/>
  <c r="G89" i="1"/>
  <c r="E88" i="1"/>
  <c r="D89" i="1"/>
  <c r="D88" i="1" s="1"/>
  <c r="AG88" i="1"/>
  <c r="AF88" i="1"/>
  <c r="AE88" i="1"/>
  <c r="AD88" i="1"/>
  <c r="AC88" i="1"/>
  <c r="AB88" i="1"/>
  <c r="AA88" i="1"/>
  <c r="Z88" i="1"/>
  <c r="Y88" i="1"/>
  <c r="X88" i="1"/>
  <c r="W88" i="1"/>
  <c r="V88" i="1"/>
  <c r="U88" i="1"/>
  <c r="T88" i="1"/>
  <c r="S88" i="1"/>
  <c r="R88" i="1"/>
  <c r="Q88" i="1"/>
  <c r="P88" i="1"/>
  <c r="O88" i="1"/>
  <c r="N88" i="1"/>
  <c r="M88" i="1"/>
  <c r="L88" i="1"/>
  <c r="K88" i="1"/>
  <c r="J88" i="1"/>
  <c r="G87" i="1"/>
  <c r="E86" i="1"/>
  <c r="D87" i="1"/>
  <c r="D86" i="1" s="1"/>
  <c r="AG86" i="1"/>
  <c r="AF86" i="1"/>
  <c r="AE86" i="1"/>
  <c r="AD86" i="1"/>
  <c r="AC86" i="1"/>
  <c r="AB86" i="1"/>
  <c r="AA86" i="1"/>
  <c r="Z86" i="1"/>
  <c r="Y86" i="1"/>
  <c r="X86" i="1"/>
  <c r="W86" i="1"/>
  <c r="V86" i="1"/>
  <c r="U86" i="1"/>
  <c r="T86" i="1"/>
  <c r="S86" i="1"/>
  <c r="R86" i="1"/>
  <c r="Q86" i="1"/>
  <c r="P86" i="1"/>
  <c r="O86" i="1"/>
  <c r="N86" i="1"/>
  <c r="M86" i="1"/>
  <c r="L86" i="1"/>
  <c r="K86" i="1"/>
  <c r="J86" i="1"/>
  <c r="G85" i="1"/>
  <c r="G83" i="1" s="1"/>
  <c r="D85" i="1"/>
  <c r="D83" i="1" s="1"/>
  <c r="AG83" i="1"/>
  <c r="AF83" i="1"/>
  <c r="AE83" i="1"/>
  <c r="AD83" i="1"/>
  <c r="AC83" i="1"/>
  <c r="AB83" i="1"/>
  <c r="AA83" i="1"/>
  <c r="Z83" i="1"/>
  <c r="Y83" i="1"/>
  <c r="X83" i="1"/>
  <c r="W83" i="1"/>
  <c r="V83" i="1"/>
  <c r="U83" i="1"/>
  <c r="T83" i="1"/>
  <c r="S83" i="1"/>
  <c r="R83" i="1"/>
  <c r="Q83" i="1"/>
  <c r="P83" i="1"/>
  <c r="O83" i="1"/>
  <c r="N83" i="1"/>
  <c r="M83" i="1"/>
  <c r="L83" i="1"/>
  <c r="K83" i="1"/>
  <c r="J83" i="1"/>
  <c r="AG82" i="1"/>
  <c r="AG81" i="1" s="1"/>
  <c r="AF82" i="1"/>
  <c r="AF81" i="1" s="1"/>
  <c r="AE82" i="1"/>
  <c r="AE81" i="1" s="1"/>
  <c r="AD82" i="1"/>
  <c r="AD81" i="1" s="1"/>
  <c r="AC82" i="1"/>
  <c r="AC81" i="1" s="1"/>
  <c r="AB82" i="1"/>
  <c r="AB81" i="1" s="1"/>
  <c r="AA82" i="1"/>
  <c r="AA81" i="1" s="1"/>
  <c r="Z82" i="1"/>
  <c r="Z81" i="1" s="1"/>
  <c r="Y82" i="1"/>
  <c r="Y81" i="1" s="1"/>
  <c r="X82" i="1"/>
  <c r="X81" i="1" s="1"/>
  <c r="W82" i="1"/>
  <c r="W81" i="1" s="1"/>
  <c r="V82" i="1"/>
  <c r="V81" i="1" s="1"/>
  <c r="U82" i="1"/>
  <c r="U81" i="1" s="1"/>
  <c r="T82" i="1"/>
  <c r="S82" i="1"/>
  <c r="S81" i="1" s="1"/>
  <c r="R82" i="1"/>
  <c r="R81" i="1" s="1"/>
  <c r="Q82" i="1"/>
  <c r="Q81" i="1" s="1"/>
  <c r="P82" i="1"/>
  <c r="P81" i="1" s="1"/>
  <c r="O82" i="1"/>
  <c r="O81" i="1" s="1"/>
  <c r="N82" i="1"/>
  <c r="M82" i="1"/>
  <c r="M81" i="1" s="1"/>
  <c r="L82" i="1"/>
  <c r="L81" i="1" s="1"/>
  <c r="K82" i="1"/>
  <c r="K81" i="1" s="1"/>
  <c r="J82" i="1"/>
  <c r="G80" i="1"/>
  <c r="D80" i="1"/>
  <c r="D78" i="1"/>
  <c r="G77" i="1"/>
  <c r="E76" i="1"/>
  <c r="D77" i="1"/>
  <c r="AG76" i="1"/>
  <c r="AF76" i="1"/>
  <c r="AE76" i="1"/>
  <c r="AD76" i="1"/>
  <c r="AC76" i="1"/>
  <c r="AB76" i="1"/>
  <c r="AA76" i="1"/>
  <c r="Z76" i="1"/>
  <c r="Y76" i="1"/>
  <c r="X76" i="1"/>
  <c r="W76" i="1"/>
  <c r="V76" i="1"/>
  <c r="U76" i="1"/>
  <c r="T76" i="1"/>
  <c r="S76" i="1"/>
  <c r="R76" i="1"/>
  <c r="Q76" i="1"/>
  <c r="P76" i="1"/>
  <c r="O76" i="1"/>
  <c r="N76" i="1"/>
  <c r="M76" i="1"/>
  <c r="L76" i="1"/>
  <c r="K76" i="1"/>
  <c r="J76" i="1"/>
  <c r="AG75" i="1"/>
  <c r="AF75" i="1"/>
  <c r="AE75" i="1"/>
  <c r="AD75" i="1"/>
  <c r="AC75" i="1"/>
  <c r="AB75" i="1"/>
  <c r="AA75" i="1"/>
  <c r="Z75" i="1"/>
  <c r="Y75" i="1"/>
  <c r="X75" i="1"/>
  <c r="W75" i="1"/>
  <c r="V75" i="1"/>
  <c r="U75" i="1"/>
  <c r="T75" i="1"/>
  <c r="S75" i="1"/>
  <c r="R75" i="1"/>
  <c r="Q75" i="1"/>
  <c r="P75" i="1"/>
  <c r="N75" i="1"/>
  <c r="M75" i="1"/>
  <c r="L75" i="1"/>
  <c r="K75" i="1"/>
  <c r="J75" i="1"/>
  <c r="AG74" i="1"/>
  <c r="AF74" i="1"/>
  <c r="AE74" i="1"/>
  <c r="AD74" i="1"/>
  <c r="AC74" i="1"/>
  <c r="AB74" i="1"/>
  <c r="AA74" i="1"/>
  <c r="Z74" i="1"/>
  <c r="Y74" i="1"/>
  <c r="X74" i="1"/>
  <c r="W74" i="1"/>
  <c r="V74" i="1"/>
  <c r="U74" i="1"/>
  <c r="T74" i="1"/>
  <c r="S74" i="1"/>
  <c r="R74" i="1"/>
  <c r="Q74" i="1"/>
  <c r="P74" i="1"/>
  <c r="O74" i="1"/>
  <c r="N74" i="1"/>
  <c r="M74" i="1"/>
  <c r="L74" i="1"/>
  <c r="K74" i="1"/>
  <c r="J74" i="1"/>
  <c r="AG73" i="1"/>
  <c r="AF73" i="1"/>
  <c r="AE73" i="1"/>
  <c r="AD73" i="1"/>
  <c r="AC73" i="1"/>
  <c r="AB73" i="1"/>
  <c r="AA73" i="1"/>
  <c r="Z73" i="1"/>
  <c r="Y73" i="1"/>
  <c r="X73" i="1"/>
  <c r="W73" i="1"/>
  <c r="V73" i="1"/>
  <c r="U73" i="1"/>
  <c r="T73" i="1"/>
  <c r="S73" i="1"/>
  <c r="R73" i="1"/>
  <c r="Q73" i="1"/>
  <c r="P73" i="1"/>
  <c r="O73" i="1"/>
  <c r="N73" i="1"/>
  <c r="M73" i="1"/>
  <c r="L73" i="1"/>
  <c r="K73" i="1"/>
  <c r="J73" i="1"/>
  <c r="G70" i="1"/>
  <c r="F70" i="1" s="1"/>
  <c r="D70" i="1"/>
  <c r="G69" i="1"/>
  <c r="D69" i="1"/>
  <c r="G68" i="1"/>
  <c r="F68" i="1" s="1"/>
  <c r="D68" i="1"/>
  <c r="AG67" i="1"/>
  <c r="AF67" i="1"/>
  <c r="AE67" i="1"/>
  <c r="AD67" i="1"/>
  <c r="AC67" i="1"/>
  <c r="AB67" i="1"/>
  <c r="AA67" i="1"/>
  <c r="Z67" i="1"/>
  <c r="Y67" i="1"/>
  <c r="X67" i="1"/>
  <c r="W67" i="1"/>
  <c r="V67" i="1"/>
  <c r="U67" i="1"/>
  <c r="T67" i="1"/>
  <c r="S67" i="1"/>
  <c r="R67" i="1"/>
  <c r="Q67" i="1"/>
  <c r="P67" i="1"/>
  <c r="O67" i="1"/>
  <c r="N67" i="1"/>
  <c r="M67" i="1"/>
  <c r="L67" i="1"/>
  <c r="K67" i="1"/>
  <c r="J67" i="1"/>
  <c r="E65" i="1"/>
  <c r="D66" i="1"/>
  <c r="D65" i="1" s="1"/>
  <c r="AG65" i="1"/>
  <c r="AF65" i="1"/>
  <c r="AE65" i="1"/>
  <c r="AD65" i="1"/>
  <c r="AC65" i="1"/>
  <c r="AB65" i="1"/>
  <c r="Y65" i="1"/>
  <c r="X65" i="1"/>
  <c r="W65" i="1"/>
  <c r="V65" i="1"/>
  <c r="U65" i="1"/>
  <c r="T65" i="1"/>
  <c r="S65" i="1"/>
  <c r="R65" i="1"/>
  <c r="Q65" i="1"/>
  <c r="P65" i="1"/>
  <c r="O65" i="1"/>
  <c r="N65" i="1"/>
  <c r="M65" i="1"/>
  <c r="L65" i="1"/>
  <c r="K65" i="1"/>
  <c r="J65" i="1"/>
  <c r="G63" i="1"/>
  <c r="D64" i="1"/>
  <c r="D63" i="1" s="1"/>
  <c r="AG63" i="1"/>
  <c r="AF63" i="1"/>
  <c r="AE63" i="1"/>
  <c r="AD63" i="1"/>
  <c r="AC63" i="1"/>
  <c r="AB63" i="1"/>
  <c r="AA63" i="1"/>
  <c r="Z63" i="1"/>
  <c r="Y63" i="1"/>
  <c r="X63" i="1"/>
  <c r="W63" i="1"/>
  <c r="V63" i="1"/>
  <c r="U63" i="1"/>
  <c r="T63" i="1"/>
  <c r="S63" i="1"/>
  <c r="R63" i="1"/>
  <c r="Q63" i="1"/>
  <c r="P63" i="1"/>
  <c r="O63" i="1"/>
  <c r="N63" i="1"/>
  <c r="M63" i="1"/>
  <c r="L63" i="1"/>
  <c r="K63" i="1"/>
  <c r="J63" i="1"/>
  <c r="AG62" i="1"/>
  <c r="AG60" i="1" s="1"/>
  <c r="AF62" i="1"/>
  <c r="AF60" i="1" s="1"/>
  <c r="AE62" i="1"/>
  <c r="AE60" i="1" s="1"/>
  <c r="AD62" i="1"/>
  <c r="AD60" i="1" s="1"/>
  <c r="AC62" i="1"/>
  <c r="AC60" i="1" s="1"/>
  <c r="AB62" i="1"/>
  <c r="AA62" i="1"/>
  <c r="AA60" i="1" s="1"/>
  <c r="Z62" i="1"/>
  <c r="Y62" i="1"/>
  <c r="Y60" i="1" s="1"/>
  <c r="X62" i="1"/>
  <c r="X60" i="1" s="1"/>
  <c r="W62" i="1"/>
  <c r="W60" i="1" s="1"/>
  <c r="V62" i="1"/>
  <c r="V60" i="1" s="1"/>
  <c r="U62" i="1"/>
  <c r="U60" i="1" s="1"/>
  <c r="T62" i="1"/>
  <c r="S60" i="1"/>
  <c r="Q62" i="1"/>
  <c r="Q60" i="1" s="1"/>
  <c r="P62" i="1"/>
  <c r="P60" i="1" s="1"/>
  <c r="O62" i="1"/>
  <c r="O60" i="1" s="1"/>
  <c r="N62" i="1"/>
  <c r="N60" i="1" s="1"/>
  <c r="M62" i="1"/>
  <c r="L62" i="1"/>
  <c r="L60" i="1" s="1"/>
  <c r="K62" i="1"/>
  <c r="K60" i="1" s="1"/>
  <c r="J62" i="1"/>
  <c r="G61" i="1"/>
  <c r="D61" i="1"/>
  <c r="G57" i="1"/>
  <c r="E57" i="1"/>
  <c r="G56" i="1"/>
  <c r="F56" i="1" s="1"/>
  <c r="E56" i="1"/>
  <c r="AG55" i="1"/>
  <c r="AF55" i="1"/>
  <c r="AE55" i="1"/>
  <c r="AD55" i="1"/>
  <c r="AC55" i="1"/>
  <c r="AB55" i="1"/>
  <c r="AA55" i="1"/>
  <c r="Z55" i="1"/>
  <c r="Y55" i="1"/>
  <c r="X55" i="1"/>
  <c r="W55" i="1"/>
  <c r="V55" i="1"/>
  <c r="U55" i="1"/>
  <c r="T55" i="1"/>
  <c r="S55" i="1"/>
  <c r="R55" i="1"/>
  <c r="Q55" i="1"/>
  <c r="P55" i="1"/>
  <c r="O55" i="1"/>
  <c r="N55" i="1"/>
  <c r="M55" i="1"/>
  <c r="L55" i="1"/>
  <c r="K55" i="1"/>
  <c r="J55" i="1"/>
  <c r="G54" i="1"/>
  <c r="F54" i="1" s="1"/>
  <c r="E53" i="1"/>
  <c r="D54" i="1"/>
  <c r="D53" i="1" s="1"/>
  <c r="AG53" i="1"/>
  <c r="AF53" i="1"/>
  <c r="AE53" i="1"/>
  <c r="AD53" i="1"/>
  <c r="AC53" i="1"/>
  <c r="AB53" i="1"/>
  <c r="AA53" i="1"/>
  <c r="Z53" i="1"/>
  <c r="Y53" i="1"/>
  <c r="X53" i="1"/>
  <c r="W53" i="1"/>
  <c r="V53" i="1"/>
  <c r="U53" i="1"/>
  <c r="T53" i="1"/>
  <c r="S53" i="1"/>
  <c r="R53" i="1"/>
  <c r="Q53" i="1"/>
  <c r="P53" i="1"/>
  <c r="O53" i="1"/>
  <c r="N53" i="1"/>
  <c r="M53" i="1"/>
  <c r="L53" i="1"/>
  <c r="K53" i="1"/>
  <c r="J53" i="1"/>
  <c r="G52" i="1"/>
  <c r="F52" i="1" s="1"/>
  <c r="E52" i="1"/>
  <c r="D52" i="1"/>
  <c r="G51" i="1"/>
  <c r="D51" i="1"/>
  <c r="AG50" i="1"/>
  <c r="AF50" i="1"/>
  <c r="AE50" i="1"/>
  <c r="AD50" i="1"/>
  <c r="AC50" i="1"/>
  <c r="AB50" i="1"/>
  <c r="AA50" i="1"/>
  <c r="Z50" i="1"/>
  <c r="Y50" i="1"/>
  <c r="X50" i="1"/>
  <c r="W50" i="1"/>
  <c r="V50" i="1"/>
  <c r="U50" i="1"/>
  <c r="T50" i="1"/>
  <c r="S50" i="1"/>
  <c r="R50" i="1"/>
  <c r="Q50" i="1"/>
  <c r="P50" i="1"/>
  <c r="O50" i="1"/>
  <c r="N50" i="1"/>
  <c r="M50" i="1"/>
  <c r="L50" i="1"/>
  <c r="K50" i="1"/>
  <c r="J50" i="1"/>
  <c r="E48" i="1"/>
  <c r="D49" i="1"/>
  <c r="D48" i="1" s="1"/>
  <c r="AG48" i="1"/>
  <c r="AF48" i="1"/>
  <c r="AE48" i="1"/>
  <c r="AD48" i="1"/>
  <c r="AC48" i="1"/>
  <c r="AB48" i="1"/>
  <c r="AA48" i="1"/>
  <c r="Z48" i="1"/>
  <c r="Y48" i="1"/>
  <c r="X48" i="1"/>
  <c r="W48" i="1"/>
  <c r="V48" i="1"/>
  <c r="U48" i="1"/>
  <c r="T48" i="1"/>
  <c r="S48" i="1"/>
  <c r="R48" i="1"/>
  <c r="Q48" i="1"/>
  <c r="P48" i="1"/>
  <c r="O48" i="1"/>
  <c r="N48" i="1"/>
  <c r="M48" i="1"/>
  <c r="L48" i="1"/>
  <c r="K48" i="1"/>
  <c r="J48" i="1"/>
  <c r="E46" i="1"/>
  <c r="D47" i="1"/>
  <c r="D46" i="1" s="1"/>
  <c r="AG46" i="1"/>
  <c r="AE46" i="1"/>
  <c r="AD46" i="1"/>
  <c r="AC46" i="1"/>
  <c r="AA46" i="1"/>
  <c r="Z46" i="1"/>
  <c r="Y46" i="1"/>
  <c r="X46" i="1"/>
  <c r="W46" i="1"/>
  <c r="V46" i="1"/>
  <c r="U46" i="1"/>
  <c r="T46" i="1"/>
  <c r="S46" i="1"/>
  <c r="R46" i="1"/>
  <c r="Q46" i="1"/>
  <c r="P46" i="1"/>
  <c r="O46" i="1"/>
  <c r="N46" i="1"/>
  <c r="M46" i="1"/>
  <c r="L46" i="1"/>
  <c r="K46" i="1"/>
  <c r="J46" i="1"/>
  <c r="G42" i="1"/>
  <c r="AG42" i="1"/>
  <c r="AF42" i="1"/>
  <c r="AE42" i="1"/>
  <c r="AD42" i="1"/>
  <c r="AC42" i="1"/>
  <c r="AB42" i="1"/>
  <c r="AA42" i="1"/>
  <c r="Z42" i="1"/>
  <c r="Y42" i="1"/>
  <c r="X42" i="1"/>
  <c r="W42" i="1"/>
  <c r="V42" i="1"/>
  <c r="U42" i="1"/>
  <c r="T42" i="1"/>
  <c r="S42" i="1"/>
  <c r="R42" i="1"/>
  <c r="Q42" i="1"/>
  <c r="P42" i="1"/>
  <c r="O42" i="1"/>
  <c r="N42" i="1"/>
  <c r="M42" i="1"/>
  <c r="L42" i="1"/>
  <c r="K42" i="1"/>
  <c r="AG41" i="1"/>
  <c r="AF41" i="1"/>
  <c r="AE41" i="1"/>
  <c r="AD41" i="1"/>
  <c r="AC41" i="1"/>
  <c r="AB41" i="1"/>
  <c r="AA41" i="1"/>
  <c r="Z41" i="1"/>
  <c r="Y41" i="1"/>
  <c r="X41" i="1"/>
  <c r="W41" i="1"/>
  <c r="V41" i="1"/>
  <c r="U41" i="1"/>
  <c r="T41" i="1"/>
  <c r="S41" i="1"/>
  <c r="R41" i="1"/>
  <c r="Q41" i="1"/>
  <c r="P41" i="1"/>
  <c r="O41" i="1"/>
  <c r="N41" i="1"/>
  <c r="M41" i="1"/>
  <c r="L41" i="1"/>
  <c r="K41" i="1"/>
  <c r="J41" i="1"/>
  <c r="AG40" i="1"/>
  <c r="AF40" i="1"/>
  <c r="AE40" i="1"/>
  <c r="AD40" i="1"/>
  <c r="AC40" i="1"/>
  <c r="AB40" i="1"/>
  <c r="AA40" i="1"/>
  <c r="Z40" i="1"/>
  <c r="Y40" i="1"/>
  <c r="X40" i="1"/>
  <c r="W40" i="1"/>
  <c r="V40" i="1"/>
  <c r="U40" i="1"/>
  <c r="T40" i="1"/>
  <c r="S40" i="1"/>
  <c r="R40" i="1"/>
  <c r="Q40" i="1"/>
  <c r="P40" i="1"/>
  <c r="O40" i="1"/>
  <c r="N40" i="1"/>
  <c r="M40" i="1"/>
  <c r="L40" i="1"/>
  <c r="K40" i="1"/>
  <c r="AG35" i="1"/>
  <c r="AF35" i="1"/>
  <c r="AE35" i="1"/>
  <c r="AD35" i="1"/>
  <c r="AC35" i="1"/>
  <c r="AA35" i="1"/>
  <c r="Z35" i="1"/>
  <c r="Y35" i="1"/>
  <c r="X35" i="1"/>
  <c r="W35" i="1"/>
  <c r="V35" i="1"/>
  <c r="U35" i="1"/>
  <c r="T35" i="1"/>
  <c r="S35" i="1"/>
  <c r="Q35" i="1"/>
  <c r="P35" i="1"/>
  <c r="O35" i="1"/>
  <c r="N35" i="1"/>
  <c r="M35" i="1"/>
  <c r="AG34" i="1"/>
  <c r="AF34" i="1"/>
  <c r="AE34" i="1"/>
  <c r="AD34" i="1"/>
  <c r="AC34" i="1"/>
  <c r="AB34" i="1"/>
  <c r="AA34" i="1"/>
  <c r="Z34" i="1"/>
  <c r="Y34" i="1"/>
  <c r="X34" i="1"/>
  <c r="W34" i="1"/>
  <c r="V34" i="1"/>
  <c r="U34" i="1"/>
  <c r="T34" i="1"/>
  <c r="R34" i="1"/>
  <c r="Q34" i="1"/>
  <c r="P34" i="1"/>
  <c r="O34" i="1"/>
  <c r="N34" i="1"/>
  <c r="M34" i="1"/>
  <c r="L34" i="1"/>
  <c r="J34" i="1"/>
  <c r="G32" i="1"/>
  <c r="E32" i="1"/>
  <c r="D32" i="1"/>
  <c r="I31" i="1"/>
  <c r="D31" i="1"/>
  <c r="AG30" i="1"/>
  <c r="AF30" i="1"/>
  <c r="AE30" i="1"/>
  <c r="AD30" i="1"/>
  <c r="AC30" i="1"/>
  <c r="AB30" i="1"/>
  <c r="AA30" i="1"/>
  <c r="Z30" i="1"/>
  <c r="Y30" i="1"/>
  <c r="X30" i="1"/>
  <c r="W30" i="1"/>
  <c r="V30" i="1"/>
  <c r="U30" i="1"/>
  <c r="T30" i="1"/>
  <c r="S30" i="1"/>
  <c r="R30" i="1"/>
  <c r="Q30" i="1"/>
  <c r="P30" i="1"/>
  <c r="O30" i="1"/>
  <c r="N30" i="1"/>
  <c r="M30" i="1"/>
  <c r="L30" i="1"/>
  <c r="K30" i="1"/>
  <c r="J30" i="1"/>
  <c r="F29" i="1"/>
  <c r="D29" i="1"/>
  <c r="G28" i="1"/>
  <c r="F28" i="1" s="1"/>
  <c r="E28" i="1"/>
  <c r="D28" i="1"/>
  <c r="AG27" i="1"/>
  <c r="AF27" i="1"/>
  <c r="AE27" i="1"/>
  <c r="AD27" i="1"/>
  <c r="AC27" i="1"/>
  <c r="AB27" i="1"/>
  <c r="AA27" i="1"/>
  <c r="Z27" i="1"/>
  <c r="Y27" i="1"/>
  <c r="X27" i="1"/>
  <c r="W27" i="1"/>
  <c r="V27" i="1"/>
  <c r="U27" i="1"/>
  <c r="T27" i="1"/>
  <c r="S27" i="1"/>
  <c r="R27" i="1"/>
  <c r="Q27" i="1"/>
  <c r="P27" i="1"/>
  <c r="O27" i="1"/>
  <c r="N27" i="1"/>
  <c r="M27" i="1"/>
  <c r="L27" i="1"/>
  <c r="K27" i="1"/>
  <c r="J27" i="1"/>
  <c r="I26" i="1"/>
  <c r="G25" i="1"/>
  <c r="G24" i="1"/>
  <c r="F24" i="1" s="1"/>
  <c r="D24" i="1"/>
  <c r="AG23" i="1"/>
  <c r="AF23" i="1"/>
  <c r="AE23" i="1"/>
  <c r="AD23" i="1"/>
  <c r="AC23" i="1"/>
  <c r="AB23" i="1"/>
  <c r="AA23" i="1"/>
  <c r="Z23" i="1"/>
  <c r="Y23" i="1"/>
  <c r="X23" i="1"/>
  <c r="W23" i="1"/>
  <c r="V23" i="1"/>
  <c r="U23" i="1"/>
  <c r="T23" i="1"/>
  <c r="S23" i="1"/>
  <c r="R23" i="1"/>
  <c r="Q23" i="1"/>
  <c r="P23" i="1"/>
  <c r="O23" i="1"/>
  <c r="N23" i="1"/>
  <c r="M23" i="1"/>
  <c r="L23" i="1"/>
  <c r="K23" i="1"/>
  <c r="J23" i="1"/>
  <c r="AG22" i="1"/>
  <c r="AF22" i="1"/>
  <c r="AE22" i="1"/>
  <c r="AD22" i="1"/>
  <c r="AC22" i="1"/>
  <c r="AB22" i="1"/>
  <c r="AA22" i="1"/>
  <c r="Z22" i="1"/>
  <c r="Y22" i="1"/>
  <c r="X22" i="1"/>
  <c r="W22" i="1"/>
  <c r="V22" i="1"/>
  <c r="U22" i="1"/>
  <c r="T22" i="1"/>
  <c r="S22" i="1"/>
  <c r="R22" i="1"/>
  <c r="Q22" i="1"/>
  <c r="P22" i="1"/>
  <c r="O22" i="1"/>
  <c r="N22" i="1"/>
  <c r="M22" i="1"/>
  <c r="L22" i="1"/>
  <c r="K22" i="1"/>
  <c r="J22" i="1"/>
  <c r="AG21" i="1"/>
  <c r="AF21" i="1"/>
  <c r="AE21" i="1"/>
  <c r="AD21" i="1"/>
  <c r="AC21" i="1"/>
  <c r="AB21" i="1"/>
  <c r="AA21" i="1"/>
  <c r="Z21" i="1"/>
  <c r="Y21" i="1"/>
  <c r="X21" i="1"/>
  <c r="W21" i="1"/>
  <c r="V21" i="1"/>
  <c r="U21" i="1"/>
  <c r="T21" i="1"/>
  <c r="S21" i="1"/>
  <c r="R21" i="1"/>
  <c r="Q21" i="1"/>
  <c r="P21" i="1"/>
  <c r="O21" i="1"/>
  <c r="N21" i="1"/>
  <c r="M21" i="1"/>
  <c r="L21" i="1"/>
  <c r="K21" i="1"/>
  <c r="AG20" i="1"/>
  <c r="AF20" i="1"/>
  <c r="AE20" i="1"/>
  <c r="AD20" i="1"/>
  <c r="AC20" i="1"/>
  <c r="AB20" i="1"/>
  <c r="AA20" i="1"/>
  <c r="Z20" i="1"/>
  <c r="Y20" i="1"/>
  <c r="X20" i="1"/>
  <c r="W20" i="1"/>
  <c r="V20" i="1"/>
  <c r="U20" i="1"/>
  <c r="T20" i="1"/>
  <c r="S20" i="1"/>
  <c r="R20" i="1"/>
  <c r="Q20" i="1"/>
  <c r="P20" i="1"/>
  <c r="O20" i="1"/>
  <c r="N20" i="1"/>
  <c r="M20" i="1"/>
  <c r="L20" i="1"/>
  <c r="K20" i="1"/>
  <c r="J20" i="1"/>
  <c r="G18" i="1"/>
  <c r="I18" i="1" s="1"/>
  <c r="G16" i="1"/>
  <c r="D16" i="1"/>
  <c r="G15" i="1"/>
  <c r="F15" i="1" s="1"/>
  <c r="D15" i="1"/>
  <c r="E74" i="1" l="1"/>
  <c r="E82" i="1"/>
  <c r="H80" i="1"/>
  <c r="I80" i="1"/>
  <c r="E34" i="1"/>
  <c r="E75" i="1"/>
  <c r="E40" i="1"/>
  <c r="E41" i="1"/>
  <c r="E21" i="1"/>
  <c r="E22" i="1"/>
  <c r="AB60" i="1"/>
  <c r="E62" i="1"/>
  <c r="E60" i="1" s="1"/>
  <c r="AB35" i="1"/>
  <c r="AB10" i="1" s="1"/>
  <c r="E39" i="1"/>
  <c r="E20" i="1"/>
  <c r="F25" i="1"/>
  <c r="F23" i="1" s="1"/>
  <c r="I25" i="1"/>
  <c r="V10" i="1"/>
  <c r="AD10" i="1"/>
  <c r="N10" i="1"/>
  <c r="Z10" i="1"/>
  <c r="U10" i="1"/>
  <c r="Y10" i="1"/>
  <c r="AG10" i="1"/>
  <c r="M10" i="1"/>
  <c r="Q10" i="1"/>
  <c r="AC10" i="1"/>
  <c r="O10" i="1"/>
  <c r="S10" i="1"/>
  <c r="W10" i="1"/>
  <c r="AA10" i="1"/>
  <c r="AE10" i="1"/>
  <c r="P10" i="1"/>
  <c r="T10" i="1"/>
  <c r="X10" i="1"/>
  <c r="AF10" i="1"/>
  <c r="H107" i="1"/>
  <c r="E96" i="1"/>
  <c r="E95" i="1" s="1"/>
  <c r="T81" i="1"/>
  <c r="E81" i="1"/>
  <c r="N38" i="1"/>
  <c r="T38" i="1"/>
  <c r="T37" i="1"/>
  <c r="T12" i="1" s="1"/>
  <c r="R95" i="1"/>
  <c r="D34" i="1"/>
  <c r="R60" i="1"/>
  <c r="R35" i="1"/>
  <c r="R10" i="1" s="1"/>
  <c r="R38" i="1"/>
  <c r="D76" i="1"/>
  <c r="G76" i="1"/>
  <c r="I76" i="1" s="1"/>
  <c r="D42" i="1"/>
  <c r="E103" i="1"/>
  <c r="E102" i="1" s="1"/>
  <c r="D96" i="1"/>
  <c r="D95" i="1" s="1"/>
  <c r="G14" i="1"/>
  <c r="I14" i="1" s="1"/>
  <c r="I16" i="1"/>
  <c r="J60" i="1"/>
  <c r="N81" i="1"/>
  <c r="K37" i="1"/>
  <c r="K12" i="1" s="1"/>
  <c r="K38" i="1"/>
  <c r="O38" i="1"/>
  <c r="S37" i="1"/>
  <c r="S12" i="1" s="1"/>
  <c r="S38" i="1"/>
  <c r="W38" i="1"/>
  <c r="AA37" i="1"/>
  <c r="AA12" i="1" s="1"/>
  <c r="AA38" i="1"/>
  <c r="AE37" i="1"/>
  <c r="AE12" i="1" s="1"/>
  <c r="AE38" i="1"/>
  <c r="D14" i="1"/>
  <c r="L35" i="1"/>
  <c r="L10" i="1" s="1"/>
  <c r="D39" i="1"/>
  <c r="L37" i="1"/>
  <c r="L12" i="1" s="1"/>
  <c r="L38" i="1"/>
  <c r="P38" i="1"/>
  <c r="X37" i="1"/>
  <c r="X12" i="1" s="1"/>
  <c r="X38" i="1"/>
  <c r="AB37" i="1"/>
  <c r="AB12" i="1" s="1"/>
  <c r="AB38" i="1"/>
  <c r="AF37" i="1"/>
  <c r="AF12" i="1" s="1"/>
  <c r="AF38" i="1"/>
  <c r="M38" i="1"/>
  <c r="Q37" i="1"/>
  <c r="Q12" i="1" s="1"/>
  <c r="Q38" i="1"/>
  <c r="U38" i="1"/>
  <c r="Y37" i="1"/>
  <c r="Y12" i="1" s="1"/>
  <c r="Y38" i="1"/>
  <c r="AC37" i="1"/>
  <c r="AC12" i="1" s="1"/>
  <c r="AC38" i="1"/>
  <c r="AG37" i="1"/>
  <c r="AG12" i="1" s="1"/>
  <c r="AG38" i="1"/>
  <c r="V38" i="1"/>
  <c r="Z38" i="1"/>
  <c r="AD37" i="1"/>
  <c r="AD12" i="1" s="1"/>
  <c r="AD38" i="1"/>
  <c r="F16" i="1"/>
  <c r="AA9" i="1"/>
  <c r="M37" i="1"/>
  <c r="M12" i="1" s="1"/>
  <c r="J35" i="1"/>
  <c r="J36" i="1"/>
  <c r="H18" i="1"/>
  <c r="E50" i="1"/>
  <c r="I105" i="1"/>
  <c r="I107" i="1"/>
  <c r="N9" i="1"/>
  <c r="AD9" i="1"/>
  <c r="R36" i="1"/>
  <c r="R11" i="1" s="1"/>
  <c r="L36" i="1"/>
  <c r="L11" i="1" s="1"/>
  <c r="AF36" i="1"/>
  <c r="AF11" i="1" s="1"/>
  <c r="W19" i="1"/>
  <c r="AB9" i="1"/>
  <c r="I54" i="1"/>
  <c r="M36" i="1"/>
  <c r="M11" i="1" s="1"/>
  <c r="N19" i="1"/>
  <c r="M60" i="1"/>
  <c r="AA19" i="1"/>
  <c r="T9" i="1"/>
  <c r="X9" i="1"/>
  <c r="AF9" i="1"/>
  <c r="O9" i="1"/>
  <c r="E55" i="1"/>
  <c r="G55" i="1"/>
  <c r="V19" i="1"/>
  <c r="Z9" i="1"/>
  <c r="U9" i="1"/>
  <c r="Y9" i="1"/>
  <c r="AG9" i="1"/>
  <c r="AC36" i="1"/>
  <c r="AC11" i="1" s="1"/>
  <c r="M72" i="1"/>
  <c r="L72" i="1"/>
  <c r="I61" i="1"/>
  <c r="E67" i="1"/>
  <c r="G103" i="1"/>
  <c r="Y36" i="1"/>
  <c r="Y11" i="1" s="1"/>
  <c r="AB72" i="1"/>
  <c r="G67" i="1"/>
  <c r="I100" i="1"/>
  <c r="G53" i="1"/>
  <c r="H53" i="1" s="1"/>
  <c r="V36" i="1"/>
  <c r="V11" i="1" s="1"/>
  <c r="AD36" i="1"/>
  <c r="AD11" i="1" s="1"/>
  <c r="H26" i="1"/>
  <c r="F18" i="1"/>
  <c r="AE36" i="1"/>
  <c r="AE11" i="1" s="1"/>
  <c r="Y72" i="1"/>
  <c r="AG72" i="1"/>
  <c r="S9" i="1"/>
  <c r="AE9" i="1"/>
  <c r="I78" i="1"/>
  <c r="I89" i="1"/>
  <c r="S19" i="1"/>
  <c r="AE19" i="1"/>
  <c r="U37" i="1"/>
  <c r="U12" i="1" s="1"/>
  <c r="Q72" i="1"/>
  <c r="AC72" i="1"/>
  <c r="V9" i="1"/>
  <c r="J38" i="1"/>
  <c r="K9" i="1"/>
  <c r="W9" i="1"/>
  <c r="K19" i="1"/>
  <c r="D27" i="1"/>
  <c r="T36" i="1"/>
  <c r="T11" i="1" s="1"/>
  <c r="I66" i="1"/>
  <c r="AF72" i="1"/>
  <c r="G34" i="1"/>
  <c r="Z19" i="1"/>
  <c r="Y19" i="1"/>
  <c r="T60" i="1"/>
  <c r="O19" i="1"/>
  <c r="G106" i="1"/>
  <c r="H106" i="1" s="1"/>
  <c r="P36" i="1"/>
  <c r="P11" i="1" s="1"/>
  <c r="AB36" i="1"/>
  <c r="D55" i="1"/>
  <c r="AB19" i="1"/>
  <c r="G40" i="1"/>
  <c r="S72" i="1"/>
  <c r="AE72" i="1"/>
  <c r="T72" i="1"/>
  <c r="U72" i="1"/>
  <c r="P72" i="1"/>
  <c r="X72" i="1"/>
  <c r="I77" i="1"/>
  <c r="F27" i="1"/>
  <c r="R19" i="1"/>
  <c r="I70" i="1"/>
  <c r="I91" i="1"/>
  <c r="AG36" i="1"/>
  <c r="AG11" i="1" s="1"/>
  <c r="Z37" i="1"/>
  <c r="I43" i="1"/>
  <c r="G62" i="1"/>
  <c r="G60" i="1" s="1"/>
  <c r="W36" i="1"/>
  <c r="W11" i="1" s="1"/>
  <c r="G74" i="1"/>
  <c r="F74" i="1" s="1"/>
  <c r="I98" i="1"/>
  <c r="AD19" i="1"/>
  <c r="D30" i="1"/>
  <c r="D50" i="1"/>
  <c r="I63" i="1"/>
  <c r="V72" i="1"/>
  <c r="I87" i="1"/>
  <c r="AG19" i="1"/>
  <c r="E30" i="1"/>
  <c r="K72" i="1"/>
  <c r="W72" i="1"/>
  <c r="U19" i="1"/>
  <c r="N37" i="1"/>
  <c r="N12" i="1" s="1"/>
  <c r="N36" i="1"/>
  <c r="N11" i="1" s="1"/>
  <c r="Z36" i="1"/>
  <c r="Z11" i="1" s="1"/>
  <c r="G82" i="1"/>
  <c r="G81" i="1" s="1"/>
  <c r="H32" i="1"/>
  <c r="L9" i="1"/>
  <c r="Q36" i="1"/>
  <c r="Q11" i="1" s="1"/>
  <c r="O37" i="1"/>
  <c r="O12" i="1" s="1"/>
  <c r="I52" i="1"/>
  <c r="O36" i="1"/>
  <c r="O11" i="1" s="1"/>
  <c r="AA36" i="1"/>
  <c r="AA11" i="1" s="1"/>
  <c r="I64" i="1"/>
  <c r="I68" i="1"/>
  <c r="G75" i="1"/>
  <c r="I93" i="1"/>
  <c r="J9" i="1"/>
  <c r="H24" i="1"/>
  <c r="E27" i="1"/>
  <c r="R9" i="1"/>
  <c r="M9" i="1"/>
  <c r="X19" i="1"/>
  <c r="P37" i="1"/>
  <c r="P12" i="1" s="1"/>
  <c r="I56" i="1"/>
  <c r="D67" i="1"/>
  <c r="N72" i="1"/>
  <c r="Z72" i="1"/>
  <c r="G22" i="1"/>
  <c r="U36" i="1"/>
  <c r="U11" i="1" s="1"/>
  <c r="G39" i="1"/>
  <c r="F39" i="1" s="1"/>
  <c r="O72" i="1"/>
  <c r="AA72" i="1"/>
  <c r="D23" i="1"/>
  <c r="G65" i="1"/>
  <c r="I65" i="1" s="1"/>
  <c r="I69" i="1"/>
  <c r="R72" i="1"/>
  <c r="AD72" i="1"/>
  <c r="G96" i="1"/>
  <c r="F96" i="1" s="1"/>
  <c r="P9" i="1"/>
  <c r="D40" i="1"/>
  <c r="X36" i="1"/>
  <c r="I57" i="1"/>
  <c r="I85" i="1"/>
  <c r="I83" i="1" s="1"/>
  <c r="G20" i="1"/>
  <c r="G23" i="1"/>
  <c r="D41" i="1"/>
  <c r="G46" i="1"/>
  <c r="I47" i="1"/>
  <c r="H47" i="1"/>
  <c r="D75" i="1"/>
  <c r="J72" i="1"/>
  <c r="D103" i="1"/>
  <c r="D102" i="1" s="1"/>
  <c r="J102" i="1"/>
  <c r="G41" i="1"/>
  <c r="I15" i="1"/>
  <c r="I29" i="1"/>
  <c r="H29" i="1"/>
  <c r="F32" i="1"/>
  <c r="D21" i="1"/>
  <c r="G48" i="1"/>
  <c r="I49" i="1"/>
  <c r="H49" i="1"/>
  <c r="H15" i="1"/>
  <c r="G21" i="1"/>
  <c r="I24" i="1"/>
  <c r="D82" i="1"/>
  <c r="D81" i="1" s="1"/>
  <c r="J81" i="1"/>
  <c r="I32" i="1"/>
  <c r="Q19" i="1"/>
  <c r="G27" i="1"/>
  <c r="R37" i="1"/>
  <c r="R12" i="1" s="1"/>
  <c r="J19" i="1"/>
  <c r="L19" i="1"/>
  <c r="D22" i="1"/>
  <c r="AC19" i="1"/>
  <c r="H16" i="1"/>
  <c r="M19" i="1"/>
  <c r="G30" i="1"/>
  <c r="S36" i="1"/>
  <c r="S11" i="1" s="1"/>
  <c r="I51" i="1"/>
  <c r="H51" i="1"/>
  <c r="F51" i="1"/>
  <c r="F50" i="1" s="1"/>
  <c r="D62" i="1"/>
  <c r="D60" i="1" s="1"/>
  <c r="AF19" i="1"/>
  <c r="H31" i="1"/>
  <c r="T19" i="1"/>
  <c r="P19" i="1"/>
  <c r="AC9" i="1"/>
  <c r="H25" i="1"/>
  <c r="I28" i="1"/>
  <c r="K35" i="1"/>
  <c r="G35" i="1" s="1"/>
  <c r="J37" i="1"/>
  <c r="V37" i="1"/>
  <c r="V12" i="1" s="1"/>
  <c r="I45" i="1"/>
  <c r="H45" i="1"/>
  <c r="F45" i="1"/>
  <c r="F42" i="1" s="1"/>
  <c r="E73" i="1"/>
  <c r="D73" i="1"/>
  <c r="D74" i="1"/>
  <c r="J95" i="1"/>
  <c r="D20" i="1"/>
  <c r="Q9" i="1"/>
  <c r="H28" i="1"/>
  <c r="F31" i="1"/>
  <c r="W37" i="1"/>
  <c r="W12" i="1" s="1"/>
  <c r="F57" i="1"/>
  <c r="F55" i="1" s="1"/>
  <c r="F61" i="1"/>
  <c r="F63" i="1"/>
  <c r="F69" i="1"/>
  <c r="F67" i="1" s="1"/>
  <c r="F78" i="1"/>
  <c r="G86" i="1"/>
  <c r="G88" i="1"/>
  <c r="G90" i="1"/>
  <c r="G92" i="1"/>
  <c r="G97" i="1"/>
  <c r="G99" i="1"/>
  <c r="G104" i="1"/>
  <c r="H57" i="1"/>
  <c r="H69" i="1"/>
  <c r="H78" i="1"/>
  <c r="Z60" i="1"/>
  <c r="H61" i="1"/>
  <c r="H63" i="1"/>
  <c r="K36" i="1"/>
  <c r="K11" i="1" s="1"/>
  <c r="K102" i="1"/>
  <c r="F64" i="1"/>
  <c r="F77" i="1"/>
  <c r="F80" i="1"/>
  <c r="F85" i="1"/>
  <c r="F83" i="1" s="1"/>
  <c r="F87" i="1"/>
  <c r="F86" i="1" s="1"/>
  <c r="F89" i="1"/>
  <c r="F88" i="1" s="1"/>
  <c r="F91" i="1"/>
  <c r="F90" i="1" s="1"/>
  <c r="F93" i="1"/>
  <c r="F92" i="1" s="1"/>
  <c r="F98" i="1"/>
  <c r="F97" i="1" s="1"/>
  <c r="F100" i="1"/>
  <c r="F99" i="1" s="1"/>
  <c r="F105" i="1"/>
  <c r="F104" i="1" s="1"/>
  <c r="F107" i="1"/>
  <c r="F106" i="1" s="1"/>
  <c r="G73" i="1"/>
  <c r="H43" i="1"/>
  <c r="H52" i="1"/>
  <c r="H54" i="1"/>
  <c r="H56" i="1"/>
  <c r="H64" i="1"/>
  <c r="H66" i="1"/>
  <c r="H68" i="1"/>
  <c r="H70" i="1"/>
  <c r="H77" i="1"/>
  <c r="H85" i="1"/>
  <c r="H83" i="1" s="1"/>
  <c r="H87" i="1"/>
  <c r="H89" i="1"/>
  <c r="H91" i="1"/>
  <c r="H93" i="1"/>
  <c r="H98" i="1"/>
  <c r="H100" i="1"/>
  <c r="H105" i="1"/>
  <c r="G50" i="1"/>
  <c r="E35" i="1" l="1"/>
  <c r="E37" i="1"/>
  <c r="AB11" i="1"/>
  <c r="E36" i="1"/>
  <c r="E9" i="1"/>
  <c r="Z12" i="1"/>
  <c r="X11" i="1"/>
  <c r="X8" i="1" s="1"/>
  <c r="J11" i="1"/>
  <c r="J10" i="1"/>
  <c r="E10" i="1" s="1"/>
  <c r="J12" i="1"/>
  <c r="I40" i="1"/>
  <c r="E38" i="1"/>
  <c r="K10" i="1"/>
  <c r="I22" i="1"/>
  <c r="I34" i="1"/>
  <c r="I35" i="1"/>
  <c r="T33" i="1"/>
  <c r="I75" i="1"/>
  <c r="H76" i="1"/>
  <c r="F76" i="1"/>
  <c r="E19" i="1"/>
  <c r="AG33" i="1"/>
  <c r="I74" i="1"/>
  <c r="I42" i="1"/>
  <c r="AD33" i="1"/>
  <c r="Y33" i="1"/>
  <c r="G95" i="1"/>
  <c r="H95" i="1" s="1"/>
  <c r="I96" i="1"/>
  <c r="L33" i="1"/>
  <c r="AB33" i="1"/>
  <c r="H14" i="1"/>
  <c r="F103" i="1"/>
  <c r="F102" i="1" s="1"/>
  <c r="I103" i="1"/>
  <c r="AF33" i="1"/>
  <c r="F53" i="1"/>
  <c r="D38" i="1"/>
  <c r="F14" i="1"/>
  <c r="H42" i="1"/>
  <c r="AF8" i="1"/>
  <c r="I53" i="1"/>
  <c r="AD8" i="1"/>
  <c r="H67" i="1"/>
  <c r="D35" i="1"/>
  <c r="H35" i="1" s="1"/>
  <c r="Y8" i="1"/>
  <c r="AA33" i="1"/>
  <c r="AE33" i="1"/>
  <c r="F62" i="1"/>
  <c r="F60" i="1" s="1"/>
  <c r="M33" i="1"/>
  <c r="U33" i="1"/>
  <c r="I67" i="1"/>
  <c r="F95" i="1"/>
  <c r="AC33" i="1"/>
  <c r="U8" i="1"/>
  <c r="I55" i="1"/>
  <c r="F40" i="1"/>
  <c r="AG8" i="1"/>
  <c r="Q33" i="1"/>
  <c r="P33" i="1"/>
  <c r="H55" i="1"/>
  <c r="L8" i="1"/>
  <c r="F82" i="1"/>
  <c r="F81" i="1" s="1"/>
  <c r="G102" i="1"/>
  <c r="I102" i="1" s="1"/>
  <c r="M8" i="1"/>
  <c r="F22" i="1"/>
  <c r="H39" i="1"/>
  <c r="AE8" i="1"/>
  <c r="AB8" i="1"/>
  <c r="G72" i="1"/>
  <c r="I39" i="1"/>
  <c r="D9" i="1"/>
  <c r="AA8" i="1"/>
  <c r="H62" i="1"/>
  <c r="O8" i="1"/>
  <c r="H82" i="1"/>
  <c r="P8" i="1"/>
  <c r="F34" i="1"/>
  <c r="H34" i="1"/>
  <c r="G19" i="1"/>
  <c r="O33" i="1"/>
  <c r="I106" i="1"/>
  <c r="I82" i="1"/>
  <c r="D36" i="1"/>
  <c r="H40" i="1"/>
  <c r="D19" i="1"/>
  <c r="F75" i="1"/>
  <c r="H103" i="1"/>
  <c r="X33" i="1"/>
  <c r="H75" i="1"/>
  <c r="N8" i="1"/>
  <c r="N33" i="1"/>
  <c r="H65" i="1"/>
  <c r="Z8" i="1"/>
  <c r="Z33" i="1"/>
  <c r="F65" i="1"/>
  <c r="H96" i="1"/>
  <c r="D72" i="1"/>
  <c r="AC8" i="1"/>
  <c r="I97" i="1"/>
  <c r="H97" i="1"/>
  <c r="I46" i="1"/>
  <c r="H46" i="1"/>
  <c r="F46" i="1"/>
  <c r="F35" i="1"/>
  <c r="S8" i="1"/>
  <c r="S33" i="1"/>
  <c r="I21" i="1"/>
  <c r="H21" i="1"/>
  <c r="F21" i="1"/>
  <c r="I88" i="1"/>
  <c r="H88" i="1"/>
  <c r="K33" i="1"/>
  <c r="G37" i="1"/>
  <c r="I30" i="1"/>
  <c r="H30" i="1"/>
  <c r="I23" i="1"/>
  <c r="H23" i="1"/>
  <c r="H22" i="1"/>
  <c r="I99" i="1"/>
  <c r="H99" i="1"/>
  <c r="I48" i="1"/>
  <c r="H48" i="1"/>
  <c r="F48" i="1"/>
  <c r="W8" i="1"/>
  <c r="W33" i="1"/>
  <c r="H74" i="1"/>
  <c r="I86" i="1"/>
  <c r="H86" i="1"/>
  <c r="I20" i="1"/>
  <c r="F20" i="1"/>
  <c r="H20" i="1"/>
  <c r="I41" i="1"/>
  <c r="H41" i="1"/>
  <c r="F41" i="1"/>
  <c r="G38" i="1"/>
  <c r="I50" i="1"/>
  <c r="H50" i="1"/>
  <c r="I73" i="1"/>
  <c r="H73" i="1"/>
  <c r="F73" i="1"/>
  <c r="I81" i="1"/>
  <c r="H81" i="1"/>
  <c r="I92" i="1"/>
  <c r="H92" i="1"/>
  <c r="I60" i="1"/>
  <c r="H60" i="1"/>
  <c r="R33" i="1"/>
  <c r="E72" i="1"/>
  <c r="Q8" i="1"/>
  <c r="V8" i="1"/>
  <c r="V33" i="1"/>
  <c r="I62" i="1"/>
  <c r="G9" i="1"/>
  <c r="I90" i="1"/>
  <c r="H90" i="1"/>
  <c r="G36" i="1"/>
  <c r="I104" i="1"/>
  <c r="H104" i="1"/>
  <c r="J33" i="1"/>
  <c r="D37" i="1"/>
  <c r="I27" i="1"/>
  <c r="H27" i="1"/>
  <c r="F30" i="1"/>
  <c r="E12" i="1" l="1"/>
  <c r="E11" i="1"/>
  <c r="D10" i="1"/>
  <c r="E33" i="1"/>
  <c r="T8" i="1"/>
  <c r="R8" i="1"/>
  <c r="I95" i="1"/>
  <c r="I19" i="1"/>
  <c r="H102" i="1"/>
  <c r="F38" i="1"/>
  <c r="D11" i="1"/>
  <c r="F72" i="1"/>
  <c r="H72" i="1"/>
  <c r="I72" i="1"/>
  <c r="H19" i="1"/>
  <c r="D33" i="1"/>
  <c r="F19" i="1"/>
  <c r="G11" i="1"/>
  <c r="I9" i="1"/>
  <c r="H9" i="1"/>
  <c r="F9" i="1"/>
  <c r="D12" i="1"/>
  <c r="J8" i="1"/>
  <c r="G10" i="1"/>
  <c r="K8" i="1"/>
  <c r="I38" i="1"/>
  <c r="H38" i="1"/>
  <c r="I37" i="1"/>
  <c r="H37" i="1"/>
  <c r="F37" i="1"/>
  <c r="G33" i="1"/>
  <c r="G12" i="1"/>
  <c r="I36" i="1"/>
  <c r="H36" i="1"/>
  <c r="F36" i="1"/>
  <c r="D38" i="10"/>
  <c r="D37" i="10" s="1"/>
  <c r="AG37" i="10"/>
  <c r="AF37" i="10"/>
  <c r="AE37" i="10"/>
  <c r="AD37" i="10"/>
  <c r="AC37" i="10"/>
  <c r="AB37" i="10"/>
  <c r="AA37" i="10"/>
  <c r="Z37" i="10"/>
  <c r="Y37" i="10"/>
  <c r="X37" i="10"/>
  <c r="W37" i="10"/>
  <c r="V37" i="10"/>
  <c r="U37" i="10"/>
  <c r="T37" i="10"/>
  <c r="S37" i="10"/>
  <c r="R37" i="10"/>
  <c r="Q37" i="10"/>
  <c r="P37" i="10"/>
  <c r="O37" i="10"/>
  <c r="N37" i="10"/>
  <c r="M37" i="10"/>
  <c r="L37" i="10"/>
  <c r="K37" i="10"/>
  <c r="J37" i="10"/>
  <c r="E37" i="10"/>
  <c r="F34" i="10"/>
  <c r="D35" i="10"/>
  <c r="AG34" i="10"/>
  <c r="AF34" i="10"/>
  <c r="AE34" i="10"/>
  <c r="AD34" i="10"/>
  <c r="AC34" i="10"/>
  <c r="AB34" i="10"/>
  <c r="AA34" i="10"/>
  <c r="Z34" i="10"/>
  <c r="Y34" i="10"/>
  <c r="X34" i="10"/>
  <c r="W34" i="10"/>
  <c r="V34" i="10"/>
  <c r="U34" i="10"/>
  <c r="T34" i="10"/>
  <c r="S34" i="10"/>
  <c r="R34" i="10"/>
  <c r="Q34" i="10"/>
  <c r="P34" i="10"/>
  <c r="O34" i="10"/>
  <c r="N34" i="10"/>
  <c r="M34" i="10"/>
  <c r="L34" i="10"/>
  <c r="K34" i="10"/>
  <c r="J34" i="10"/>
  <c r="E34" i="10"/>
  <c r="D34" i="10"/>
  <c r="G33" i="10"/>
  <c r="D33" i="10"/>
  <c r="D32" i="10" s="1"/>
  <c r="AG32" i="10"/>
  <c r="AF32" i="10"/>
  <c r="AE32" i="10"/>
  <c r="AD32" i="10"/>
  <c r="AC32" i="10"/>
  <c r="AB32" i="10"/>
  <c r="AA32" i="10"/>
  <c r="Z32" i="10"/>
  <c r="Y32" i="10"/>
  <c r="X32" i="10"/>
  <c r="W32" i="10"/>
  <c r="V32" i="10"/>
  <c r="U32" i="10"/>
  <c r="T32" i="10"/>
  <c r="S32" i="10"/>
  <c r="R32" i="10"/>
  <c r="Q32" i="10"/>
  <c r="P32" i="10"/>
  <c r="O32" i="10"/>
  <c r="N32" i="10"/>
  <c r="M32" i="10"/>
  <c r="L32" i="10"/>
  <c r="K32" i="10"/>
  <c r="J32" i="10"/>
  <c r="G31" i="10"/>
  <c r="AG30" i="10"/>
  <c r="AF30" i="10"/>
  <c r="AE30" i="10"/>
  <c r="AD30" i="10"/>
  <c r="AC30" i="10"/>
  <c r="AB30" i="10"/>
  <c r="AA30" i="10"/>
  <c r="Z30" i="10"/>
  <c r="Y30" i="10"/>
  <c r="X30" i="10"/>
  <c r="W30" i="10"/>
  <c r="V30" i="10"/>
  <c r="U30" i="10"/>
  <c r="T30" i="10"/>
  <c r="S30" i="10"/>
  <c r="R30" i="10"/>
  <c r="Q30" i="10"/>
  <c r="P30" i="10"/>
  <c r="O30" i="10"/>
  <c r="N30" i="10"/>
  <c r="M30" i="10"/>
  <c r="L30" i="10"/>
  <c r="K30" i="10"/>
  <c r="J30" i="10"/>
  <c r="E30" i="10"/>
  <c r="D30" i="10"/>
  <c r="D28" i="10"/>
  <c r="AG28" i="10"/>
  <c r="AF28" i="10"/>
  <c r="AE28" i="10"/>
  <c r="AD28" i="10"/>
  <c r="AC28" i="10"/>
  <c r="AB28" i="10"/>
  <c r="AA28" i="10"/>
  <c r="Z28" i="10"/>
  <c r="Y28" i="10"/>
  <c r="X28" i="10"/>
  <c r="W28" i="10"/>
  <c r="V28" i="10"/>
  <c r="U28" i="10"/>
  <c r="T28" i="10"/>
  <c r="S28" i="10"/>
  <c r="R28" i="10"/>
  <c r="Q28" i="10"/>
  <c r="P28" i="10"/>
  <c r="O28" i="10"/>
  <c r="N28" i="10"/>
  <c r="M28" i="10"/>
  <c r="L28" i="10"/>
  <c r="K28" i="10"/>
  <c r="J28" i="10"/>
  <c r="E28" i="10"/>
  <c r="F26" i="10"/>
  <c r="F25" i="10" s="1"/>
  <c r="D25" i="10"/>
  <c r="AG25" i="10"/>
  <c r="AF25" i="10"/>
  <c r="AE25" i="10"/>
  <c r="AD25" i="10"/>
  <c r="AC25" i="10"/>
  <c r="AB25" i="10"/>
  <c r="AA25" i="10"/>
  <c r="Z25" i="10"/>
  <c r="Y25" i="10"/>
  <c r="X25" i="10"/>
  <c r="W25" i="10"/>
  <c r="V25" i="10"/>
  <c r="U25" i="10"/>
  <c r="T25" i="10"/>
  <c r="S25" i="10"/>
  <c r="R25" i="10"/>
  <c r="Q25" i="10"/>
  <c r="P25" i="10"/>
  <c r="O25" i="10"/>
  <c r="N25" i="10"/>
  <c r="M25" i="10"/>
  <c r="L25" i="10"/>
  <c r="K25" i="10"/>
  <c r="J25" i="10"/>
  <c r="E25" i="10"/>
  <c r="D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G22" i="10"/>
  <c r="F22" i="10" s="1"/>
  <c r="F21" i="10" s="1"/>
  <c r="D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F19" i="10"/>
  <c r="D19" i="10"/>
  <c r="D18" i="10" s="1"/>
  <c r="AG18" i="10"/>
  <c r="AF18" i="10"/>
  <c r="AE18" i="10"/>
  <c r="AD18" i="10"/>
  <c r="AC18" i="10"/>
  <c r="AB18" i="10"/>
  <c r="Z18" i="10"/>
  <c r="Y18" i="10"/>
  <c r="X18" i="10"/>
  <c r="W18" i="10"/>
  <c r="V18" i="10"/>
  <c r="U18" i="10"/>
  <c r="T18" i="10"/>
  <c r="S18" i="10"/>
  <c r="R18" i="10"/>
  <c r="Q18" i="10"/>
  <c r="P18" i="10"/>
  <c r="O18" i="10"/>
  <c r="N18" i="10"/>
  <c r="M18" i="10"/>
  <c r="L18" i="10"/>
  <c r="J18" i="10"/>
  <c r="F16" i="10"/>
  <c r="E16" i="10"/>
  <c r="AG16" i="10"/>
  <c r="AF16" i="10"/>
  <c r="AE16" i="10"/>
  <c r="AD16" i="10"/>
  <c r="AC16" i="10"/>
  <c r="AB16" i="10"/>
  <c r="Z16" i="10"/>
  <c r="Y16" i="10"/>
  <c r="X16" i="10"/>
  <c r="W16" i="10"/>
  <c r="V16" i="10"/>
  <c r="U16" i="10"/>
  <c r="T16" i="10"/>
  <c r="S16" i="10"/>
  <c r="R16" i="10"/>
  <c r="Q16" i="10"/>
  <c r="P16" i="10"/>
  <c r="O16" i="10"/>
  <c r="N16" i="10"/>
  <c r="M16" i="10"/>
  <c r="L16" i="10"/>
  <c r="K16" i="10"/>
  <c r="J16" i="10"/>
  <c r="F14" i="10"/>
  <c r="AG13" i="10"/>
  <c r="AF13" i="10"/>
  <c r="AE13" i="10"/>
  <c r="AD13" i="10"/>
  <c r="AC13" i="10"/>
  <c r="AB13" i="10"/>
  <c r="AA13" i="10"/>
  <c r="Z13" i="10"/>
  <c r="Y13" i="10"/>
  <c r="X13" i="10"/>
  <c r="W13" i="10"/>
  <c r="V13" i="10"/>
  <c r="U13" i="10"/>
  <c r="T13" i="10"/>
  <c r="S13" i="10"/>
  <c r="R13" i="10"/>
  <c r="Q13" i="10"/>
  <c r="P13" i="10"/>
  <c r="O13" i="10"/>
  <c r="N13" i="10"/>
  <c r="M13" i="10"/>
  <c r="L13" i="10"/>
  <c r="K13" i="10"/>
  <c r="J13" i="10"/>
  <c r="AG11" i="10"/>
  <c r="AF11" i="10"/>
  <c r="AE11" i="10"/>
  <c r="AD11" i="10"/>
  <c r="AC11" i="10"/>
  <c r="AB11" i="10"/>
  <c r="Z11" i="10"/>
  <c r="Y11" i="10"/>
  <c r="X11" i="10"/>
  <c r="W11" i="10"/>
  <c r="V11" i="10"/>
  <c r="U11" i="10"/>
  <c r="T11" i="10"/>
  <c r="P11" i="10"/>
  <c r="AG10" i="10"/>
  <c r="AF10" i="10"/>
  <c r="AE10" i="10"/>
  <c r="AD10" i="10"/>
  <c r="AC10" i="10"/>
  <c r="AB10" i="10"/>
  <c r="AB8" i="10" s="1"/>
  <c r="Z10" i="10"/>
  <c r="Y10" i="10"/>
  <c r="X10" i="10"/>
  <c r="W10" i="10"/>
  <c r="V10" i="10"/>
  <c r="U10" i="10"/>
  <c r="T10" i="10"/>
  <c r="S10" i="10"/>
  <c r="R10" i="10"/>
  <c r="R8" i="10" s="1"/>
  <c r="P10" i="10"/>
  <c r="O10" i="10"/>
  <c r="N10" i="10"/>
  <c r="M10" i="10"/>
  <c r="L10" i="10"/>
  <c r="AG9" i="10"/>
  <c r="AF9" i="10"/>
  <c r="AE9" i="10"/>
  <c r="AD9" i="10"/>
  <c r="AC9" i="10"/>
  <c r="AB9" i="10"/>
  <c r="Z9" i="10"/>
  <c r="Y9" i="10"/>
  <c r="X9" i="10"/>
  <c r="W9" i="10"/>
  <c r="V9" i="10"/>
  <c r="U9" i="10"/>
  <c r="T9" i="10"/>
  <c r="S9" i="10"/>
  <c r="R9" i="10"/>
  <c r="Q9" i="10"/>
  <c r="P9" i="10"/>
  <c r="O9" i="10"/>
  <c r="N9" i="10"/>
  <c r="M9" i="10"/>
  <c r="L9" i="10"/>
  <c r="K9" i="10"/>
  <c r="J9" i="10"/>
  <c r="AG8" i="10"/>
  <c r="E8" i="1" l="1"/>
  <c r="D10" i="10"/>
  <c r="L8" i="10"/>
  <c r="P8" i="10"/>
  <c r="AE8" i="10"/>
  <c r="D11" i="10"/>
  <c r="E8" i="10"/>
  <c r="Y8" i="10"/>
  <c r="W8" i="10"/>
  <c r="G10" i="10"/>
  <c r="F10" i="10" s="1"/>
  <c r="Z8" i="10"/>
  <c r="D13" i="10"/>
  <c r="T8" i="10"/>
  <c r="X8" i="10"/>
  <c r="AF8" i="10"/>
  <c r="F13" i="10"/>
  <c r="S8" i="10"/>
  <c r="U8" i="10"/>
  <c r="AC8" i="10"/>
  <c r="D9" i="10"/>
  <c r="V8" i="10"/>
  <c r="AD8" i="10"/>
  <c r="J8" i="10"/>
  <c r="Q8" i="10"/>
  <c r="I22" i="10"/>
  <c r="H22" i="10"/>
  <c r="G11" i="10"/>
  <c r="F11" i="10" s="1"/>
  <c r="H15" i="10"/>
  <c r="I15" i="10"/>
  <c r="I14" i="10"/>
  <c r="H14" i="10"/>
  <c r="O8" i="10"/>
  <c r="G16" i="10"/>
  <c r="I16" i="10" s="1"/>
  <c r="I11" i="1"/>
  <c r="D8" i="1"/>
  <c r="H31" i="10"/>
  <c r="I31" i="10"/>
  <c r="F31" i="10"/>
  <c r="F30" i="10" s="1"/>
  <c r="I26" i="10"/>
  <c r="H26" i="10"/>
  <c r="I33" i="10"/>
  <c r="H33" i="10"/>
  <c r="H29" i="10"/>
  <c r="I29" i="10"/>
  <c r="H24" i="10"/>
  <c r="I24" i="10"/>
  <c r="H17" i="10"/>
  <c r="I17" i="10"/>
  <c r="I35" i="10"/>
  <c r="H35" i="10"/>
  <c r="H38" i="10"/>
  <c r="I38" i="10"/>
  <c r="K8" i="10"/>
  <c r="H20" i="10"/>
  <c r="I20" i="10"/>
  <c r="H19" i="10"/>
  <c r="I19" i="10"/>
  <c r="F11" i="1"/>
  <c r="H11" i="1"/>
  <c r="I10" i="1"/>
  <c r="H10" i="1"/>
  <c r="F10" i="1"/>
  <c r="I12" i="1"/>
  <c r="F12" i="1"/>
  <c r="H12" i="1"/>
  <c r="I33" i="1"/>
  <c r="H33" i="1"/>
  <c r="F33" i="1"/>
  <c r="G8" i="1"/>
  <c r="M8" i="10"/>
  <c r="G9" i="10"/>
  <c r="G18" i="10"/>
  <c r="D16" i="10"/>
  <c r="N8" i="10"/>
  <c r="G21" i="10"/>
  <c r="G25" i="10"/>
  <c r="G30" i="10"/>
  <c r="F20" i="10"/>
  <c r="F18" i="10" s="1"/>
  <c r="F24" i="10"/>
  <c r="F23" i="10" s="1"/>
  <c r="F33" i="10"/>
  <c r="F32" i="10" s="1"/>
  <c r="F38" i="10"/>
  <c r="F37" i="10" s="1"/>
  <c r="G23" i="10"/>
  <c r="G28" i="10"/>
  <c r="G32" i="10"/>
  <c r="G37" i="10"/>
  <c r="H11" i="10" l="1"/>
  <c r="G8" i="10"/>
  <c r="H16" i="10"/>
  <c r="I11" i="10"/>
  <c r="I9" i="10"/>
  <c r="H9" i="10"/>
  <c r="I21" i="10"/>
  <c r="H21" i="10"/>
  <c r="I13" i="10"/>
  <c r="H13" i="10"/>
  <c r="H30" i="10"/>
  <c r="I30" i="10"/>
  <c r="I25" i="10"/>
  <c r="H25" i="10"/>
  <c r="I32" i="10"/>
  <c r="H32" i="10"/>
  <c r="H28" i="10"/>
  <c r="I28" i="10"/>
  <c r="H23" i="10"/>
  <c r="I23" i="10"/>
  <c r="I34" i="10"/>
  <c r="H34" i="10"/>
  <c r="H37" i="10"/>
  <c r="I37" i="10"/>
  <c r="H18" i="10"/>
  <c r="I18" i="10"/>
  <c r="H10" i="10"/>
  <c r="I10" i="10"/>
  <c r="F8" i="1"/>
  <c r="I8" i="1"/>
  <c r="H8" i="1"/>
  <c r="D8" i="10"/>
  <c r="F9" i="10"/>
  <c r="F8" i="10" l="1"/>
  <c r="I8" i="10"/>
  <c r="H8" i="10"/>
  <c r="D49" i="6"/>
  <c r="D41" i="6" s="1"/>
  <c r="G48" i="6"/>
  <c r="F48" i="6" s="1"/>
  <c r="E48" i="6"/>
  <c r="D48" i="6"/>
  <c r="G47" i="6"/>
  <c r="E47" i="6"/>
  <c r="D47" i="6"/>
  <c r="AG46" i="6"/>
  <c r="AF46" i="6"/>
  <c r="AE46" i="6"/>
  <c r="AD46" i="6"/>
  <c r="AC46" i="6"/>
  <c r="AB46" i="6"/>
  <c r="AA46" i="6"/>
  <c r="Z46" i="6"/>
  <c r="Y46" i="6"/>
  <c r="X46" i="6"/>
  <c r="W46" i="6"/>
  <c r="V46" i="6"/>
  <c r="U46" i="6"/>
  <c r="T46" i="6"/>
  <c r="S46" i="6"/>
  <c r="R46" i="6"/>
  <c r="Q46" i="6"/>
  <c r="P46" i="6"/>
  <c r="O46" i="6"/>
  <c r="N46" i="6"/>
  <c r="M46" i="6"/>
  <c r="L46" i="6"/>
  <c r="K46" i="6"/>
  <c r="J46" i="6"/>
  <c r="G45" i="6"/>
  <c r="G44" i="6"/>
  <c r="AJ44" i="6" s="1"/>
  <c r="D44" i="6"/>
  <c r="D40" i="6" s="1"/>
  <c r="G43" i="6"/>
  <c r="E43" i="6"/>
  <c r="D43" i="6"/>
  <c r="AG42" i="6"/>
  <c r="AF42" i="6"/>
  <c r="AE42" i="6"/>
  <c r="AD42" i="6"/>
  <c r="AC42" i="6"/>
  <c r="AB42" i="6"/>
  <c r="AA42" i="6"/>
  <c r="Z42" i="6"/>
  <c r="Y42" i="6"/>
  <c r="X42" i="6"/>
  <c r="W42" i="6"/>
  <c r="V42" i="6"/>
  <c r="U42" i="6"/>
  <c r="T42" i="6"/>
  <c r="S42" i="6"/>
  <c r="R42" i="6"/>
  <c r="Q42" i="6"/>
  <c r="P42" i="6"/>
  <c r="O42" i="6"/>
  <c r="N42" i="6"/>
  <c r="M42" i="6"/>
  <c r="L42" i="6"/>
  <c r="K42" i="6"/>
  <c r="J42" i="6"/>
  <c r="AG41" i="6"/>
  <c r="AF41" i="6"/>
  <c r="AE41" i="6"/>
  <c r="AD41" i="6"/>
  <c r="AC41" i="6"/>
  <c r="AB41" i="6"/>
  <c r="AA41" i="6"/>
  <c r="Z41" i="6"/>
  <c r="Y41" i="6"/>
  <c r="X41" i="6"/>
  <c r="W41" i="6"/>
  <c r="V41" i="6"/>
  <c r="U41" i="6"/>
  <c r="T41" i="6"/>
  <c r="S41" i="6"/>
  <c r="R41" i="6"/>
  <c r="Q41" i="6"/>
  <c r="P41" i="6"/>
  <c r="O41" i="6"/>
  <c r="N41" i="6"/>
  <c r="M41" i="6"/>
  <c r="L41" i="6"/>
  <c r="K41" i="6"/>
  <c r="J41" i="6"/>
  <c r="AG40" i="6"/>
  <c r="AF40" i="6"/>
  <c r="AE40" i="6"/>
  <c r="AD40" i="6"/>
  <c r="AC40" i="6"/>
  <c r="AB40" i="6"/>
  <c r="AA40" i="6"/>
  <c r="Z40" i="6"/>
  <c r="Y40" i="6"/>
  <c r="X40" i="6"/>
  <c r="W40" i="6"/>
  <c r="V40" i="6"/>
  <c r="U40" i="6"/>
  <c r="T40" i="6"/>
  <c r="S40" i="6"/>
  <c r="R40" i="6"/>
  <c r="Q40" i="6"/>
  <c r="P40" i="6"/>
  <c r="O40" i="6"/>
  <c r="N40" i="6"/>
  <c r="M40" i="6"/>
  <c r="L40" i="6"/>
  <c r="K40" i="6"/>
  <c r="J40" i="6"/>
  <c r="AG39" i="6"/>
  <c r="AF39" i="6"/>
  <c r="AE39" i="6"/>
  <c r="AD39" i="6"/>
  <c r="AC39" i="6"/>
  <c r="AB39" i="6"/>
  <c r="AA39" i="6"/>
  <c r="Z39" i="6"/>
  <c r="Y39" i="6"/>
  <c r="Y38" i="6" s="1"/>
  <c r="X39" i="6"/>
  <c r="X38" i="6" s="1"/>
  <c r="W39" i="6"/>
  <c r="V39" i="6"/>
  <c r="U39" i="6"/>
  <c r="T39" i="6"/>
  <c r="S39" i="6"/>
  <c r="R39" i="6"/>
  <c r="Q39" i="6"/>
  <c r="P39" i="6"/>
  <c r="O39" i="6"/>
  <c r="N39" i="6"/>
  <c r="M39" i="6"/>
  <c r="L39" i="6"/>
  <c r="K39" i="6"/>
  <c r="J39" i="6"/>
  <c r="E39" i="6" s="1"/>
  <c r="G36" i="6"/>
  <c r="F36" i="6" s="1"/>
  <c r="E36" i="6"/>
  <c r="D36" i="6"/>
  <c r="G35" i="6"/>
  <c r="D35" i="6"/>
  <c r="G34" i="6"/>
  <c r="F34" i="6" s="1"/>
  <c r="E34" i="6"/>
  <c r="D34" i="6"/>
  <c r="AG33" i="6"/>
  <c r="AF33" i="6"/>
  <c r="AE33" i="6"/>
  <c r="AD33" i="6"/>
  <c r="AC33" i="6"/>
  <c r="AB33" i="6"/>
  <c r="AA33" i="6"/>
  <c r="Z33" i="6"/>
  <c r="Y33" i="6"/>
  <c r="X33" i="6"/>
  <c r="W33" i="6"/>
  <c r="V33" i="6"/>
  <c r="U33" i="6"/>
  <c r="T33" i="6"/>
  <c r="S33" i="6"/>
  <c r="R33" i="6"/>
  <c r="Q33" i="6"/>
  <c r="P33" i="6"/>
  <c r="O33" i="6"/>
  <c r="N33" i="6"/>
  <c r="M33" i="6"/>
  <c r="L33" i="6"/>
  <c r="K33" i="6"/>
  <c r="J33" i="6"/>
  <c r="G32" i="6"/>
  <c r="D32" i="6"/>
  <c r="G31" i="6"/>
  <c r="E31" i="6"/>
  <c r="D31" i="6"/>
  <c r="G30" i="6"/>
  <c r="F30" i="6" s="1"/>
  <c r="E30" i="6"/>
  <c r="D30" i="6"/>
  <c r="AG29" i="6"/>
  <c r="AF29" i="6"/>
  <c r="AE29" i="6"/>
  <c r="AD29" i="6"/>
  <c r="AC29" i="6"/>
  <c r="AB29" i="6"/>
  <c r="AA29" i="6"/>
  <c r="Z29" i="6"/>
  <c r="Y29" i="6"/>
  <c r="X29" i="6"/>
  <c r="W29" i="6"/>
  <c r="V29" i="6"/>
  <c r="U29" i="6"/>
  <c r="T29" i="6"/>
  <c r="S29" i="6"/>
  <c r="R29" i="6"/>
  <c r="Q29" i="6"/>
  <c r="P29" i="6"/>
  <c r="O29" i="6"/>
  <c r="N29" i="6"/>
  <c r="M29" i="6"/>
  <c r="L29" i="6"/>
  <c r="K29" i="6"/>
  <c r="J29" i="6"/>
  <c r="G28" i="6"/>
  <c r="G27" i="6"/>
  <c r="G26" i="6"/>
  <c r="E26" i="6"/>
  <c r="D26" i="6"/>
  <c r="D25" i="6" s="1"/>
  <c r="AG25" i="6"/>
  <c r="AF25" i="6"/>
  <c r="AE25" i="6"/>
  <c r="AD25" i="6"/>
  <c r="AC25" i="6"/>
  <c r="AB25" i="6"/>
  <c r="AA25" i="6"/>
  <c r="Z25" i="6"/>
  <c r="Y25" i="6"/>
  <c r="X25" i="6"/>
  <c r="W25" i="6"/>
  <c r="V25" i="6"/>
  <c r="U25" i="6"/>
  <c r="T25" i="6"/>
  <c r="S25" i="6"/>
  <c r="R25" i="6"/>
  <c r="Q25" i="6"/>
  <c r="P25" i="6"/>
  <c r="O25" i="6"/>
  <c r="N25" i="6"/>
  <c r="M25" i="6"/>
  <c r="L25" i="6"/>
  <c r="K25" i="6"/>
  <c r="J25" i="6"/>
  <c r="G23" i="6"/>
  <c r="AJ23" i="6" s="1"/>
  <c r="G22" i="6"/>
  <c r="F22" i="6" s="1"/>
  <c r="E22" i="6"/>
  <c r="E21" i="6" s="1"/>
  <c r="D22" i="6"/>
  <c r="D21" i="6" s="1"/>
  <c r="AG21" i="6"/>
  <c r="AF21" i="6"/>
  <c r="AE21" i="6"/>
  <c r="AD21" i="6"/>
  <c r="AC21" i="6"/>
  <c r="AB21" i="6"/>
  <c r="AA21" i="6"/>
  <c r="Z21" i="6"/>
  <c r="Y21" i="6"/>
  <c r="X21" i="6"/>
  <c r="W21" i="6"/>
  <c r="V21" i="6"/>
  <c r="U21" i="6"/>
  <c r="T21" i="6"/>
  <c r="S21" i="6"/>
  <c r="R21" i="6"/>
  <c r="Q21" i="6"/>
  <c r="P21" i="6"/>
  <c r="O21" i="6"/>
  <c r="N21" i="6"/>
  <c r="M21" i="6"/>
  <c r="L21" i="6"/>
  <c r="K21" i="6"/>
  <c r="J21" i="6"/>
  <c r="G20" i="6"/>
  <c r="F20" i="6" s="1"/>
  <c r="G19" i="6"/>
  <c r="AJ19" i="6" s="1"/>
  <c r="G18" i="6"/>
  <c r="E18" i="6"/>
  <c r="E17" i="6" s="1"/>
  <c r="D18" i="6"/>
  <c r="D17" i="6" s="1"/>
  <c r="AG17" i="6"/>
  <c r="AF17" i="6"/>
  <c r="AE17" i="6"/>
  <c r="AD17" i="6"/>
  <c r="AC17" i="6"/>
  <c r="AB17" i="6"/>
  <c r="AA17" i="6"/>
  <c r="Z17" i="6"/>
  <c r="Y17" i="6"/>
  <c r="X17" i="6"/>
  <c r="W17" i="6"/>
  <c r="V17" i="6"/>
  <c r="U17" i="6"/>
  <c r="T17" i="6"/>
  <c r="S17" i="6"/>
  <c r="R17" i="6"/>
  <c r="Q17" i="6"/>
  <c r="P17" i="6"/>
  <c r="O17" i="6"/>
  <c r="N17" i="6"/>
  <c r="M17" i="6"/>
  <c r="L17" i="6"/>
  <c r="K17" i="6"/>
  <c r="J17" i="6"/>
  <c r="AG16" i="6"/>
  <c r="AF16" i="6"/>
  <c r="AE16" i="6"/>
  <c r="AD16" i="6"/>
  <c r="AC16" i="6"/>
  <c r="AB16" i="6"/>
  <c r="AA16" i="6"/>
  <c r="Z16" i="6"/>
  <c r="Y16" i="6"/>
  <c r="X16" i="6"/>
  <c r="W16" i="6"/>
  <c r="V16" i="6"/>
  <c r="U16" i="6"/>
  <c r="T16" i="6"/>
  <c r="S16" i="6"/>
  <c r="R16" i="6"/>
  <c r="Q16" i="6"/>
  <c r="P16" i="6"/>
  <c r="O16" i="6"/>
  <c r="N16" i="6"/>
  <c r="M16" i="6"/>
  <c r="L16" i="6"/>
  <c r="K16" i="6"/>
  <c r="J16" i="6"/>
  <c r="AG15" i="6"/>
  <c r="AF15" i="6"/>
  <c r="AE15" i="6"/>
  <c r="AD15" i="6"/>
  <c r="AC15" i="6"/>
  <c r="AB15" i="6"/>
  <c r="AA15" i="6"/>
  <c r="Z15" i="6"/>
  <c r="Y15" i="6"/>
  <c r="X15" i="6"/>
  <c r="W15" i="6"/>
  <c r="V15" i="6"/>
  <c r="U15" i="6"/>
  <c r="T15" i="6"/>
  <c r="S15" i="6"/>
  <c r="R15" i="6"/>
  <c r="Q15" i="6"/>
  <c r="P15" i="6"/>
  <c r="O15" i="6"/>
  <c r="N15" i="6"/>
  <c r="M15" i="6"/>
  <c r="L15" i="6"/>
  <c r="K15" i="6"/>
  <c r="AG14" i="6"/>
  <c r="AF14" i="6"/>
  <c r="AE14" i="6"/>
  <c r="AD14" i="6"/>
  <c r="AC14" i="6"/>
  <c r="AB14" i="6"/>
  <c r="AA14" i="6"/>
  <c r="Z14" i="6"/>
  <c r="Y14" i="6"/>
  <c r="X14" i="6"/>
  <c r="W14" i="6"/>
  <c r="V14" i="6"/>
  <c r="U14" i="6"/>
  <c r="T14" i="6"/>
  <c r="S14" i="6"/>
  <c r="R14" i="6"/>
  <c r="Q14" i="6"/>
  <c r="P14" i="6"/>
  <c r="O14" i="6"/>
  <c r="N14" i="6"/>
  <c r="M14" i="6"/>
  <c r="L14" i="6"/>
  <c r="K14" i="6"/>
  <c r="J14" i="6"/>
  <c r="E14" i="6" s="1"/>
  <c r="E13" i="6" s="1"/>
  <c r="G9" i="6"/>
  <c r="F9" i="6" s="1"/>
  <c r="E9" i="6"/>
  <c r="D9" i="6"/>
  <c r="S38" i="6" l="1"/>
  <c r="Y10" i="6"/>
  <c r="Y11" i="6"/>
  <c r="M10" i="6"/>
  <c r="U10" i="6"/>
  <c r="AG10" i="6"/>
  <c r="U11" i="6"/>
  <c r="M11" i="6"/>
  <c r="AG11" i="6"/>
  <c r="O10" i="6"/>
  <c r="O11" i="6"/>
  <c r="W11" i="6"/>
  <c r="AA11" i="6"/>
  <c r="AA10" i="6"/>
  <c r="V10" i="6"/>
  <c r="Z10" i="6"/>
  <c r="N11" i="6"/>
  <c r="Z11" i="6"/>
  <c r="N10" i="6"/>
  <c r="D16" i="6"/>
  <c r="AG13" i="6"/>
  <c r="G41" i="6"/>
  <c r="I41" i="6" s="1"/>
  <c r="Q13" i="6"/>
  <c r="S11" i="6"/>
  <c r="AE11" i="6"/>
  <c r="E29" i="6"/>
  <c r="E33" i="6"/>
  <c r="X10" i="6"/>
  <c r="AF11" i="6"/>
  <c r="G40" i="6"/>
  <c r="I40" i="6" s="1"/>
  <c r="AJ28" i="6"/>
  <c r="D15" i="6"/>
  <c r="J10" i="6"/>
  <c r="D29" i="6"/>
  <c r="D33" i="6"/>
  <c r="E46" i="6"/>
  <c r="K10" i="6"/>
  <c r="W10" i="6"/>
  <c r="K11" i="6"/>
  <c r="L11" i="6"/>
  <c r="X11" i="6"/>
  <c r="Q11" i="6"/>
  <c r="AJ24" i="6"/>
  <c r="AJ30" i="6"/>
  <c r="AJ35" i="6"/>
  <c r="AJ18" i="6"/>
  <c r="AJ22" i="6"/>
  <c r="AJ27" i="6"/>
  <c r="AJ32" i="6"/>
  <c r="AJ43" i="6"/>
  <c r="AJ47" i="6"/>
  <c r="AJ34" i="6"/>
  <c r="AJ49" i="6"/>
  <c r="AJ48" i="6"/>
  <c r="AJ9" i="6"/>
  <c r="AJ20" i="6"/>
  <c r="AJ26" i="6"/>
  <c r="AJ31" i="6"/>
  <c r="AJ45" i="6"/>
  <c r="I35" i="6"/>
  <c r="L10" i="6"/>
  <c r="T11" i="6"/>
  <c r="Q38" i="6"/>
  <c r="AC11" i="6"/>
  <c r="P10" i="6"/>
  <c r="P11" i="6"/>
  <c r="AB11" i="6"/>
  <c r="Q10" i="6"/>
  <c r="AC10" i="6"/>
  <c r="AD10" i="6"/>
  <c r="R11" i="6"/>
  <c r="AD11" i="6"/>
  <c r="I23" i="6"/>
  <c r="E42" i="6"/>
  <c r="I24" i="6"/>
  <c r="L38" i="6"/>
  <c r="AB38" i="6"/>
  <c r="M38" i="6"/>
  <c r="AC38" i="6"/>
  <c r="I45" i="6"/>
  <c r="R38" i="6"/>
  <c r="T38" i="6"/>
  <c r="AF38" i="6"/>
  <c r="L13" i="6"/>
  <c r="AG38" i="6"/>
  <c r="U38" i="6"/>
  <c r="I26" i="6"/>
  <c r="AB13" i="6"/>
  <c r="AE38" i="6"/>
  <c r="I19" i="6"/>
  <c r="G39" i="6"/>
  <c r="F39" i="6" s="1"/>
  <c r="G15" i="6"/>
  <c r="AF13" i="6"/>
  <c r="AE13" i="6"/>
  <c r="AB10" i="6"/>
  <c r="E25" i="6"/>
  <c r="T13" i="6"/>
  <c r="R10" i="6"/>
  <c r="J11" i="6"/>
  <c r="I32" i="6"/>
  <c r="I44" i="6"/>
  <c r="AE10" i="6"/>
  <c r="S10" i="6"/>
  <c r="T10" i="6"/>
  <c r="AD38" i="6"/>
  <c r="I49" i="6"/>
  <c r="G42" i="6"/>
  <c r="P38" i="6"/>
  <c r="U13" i="6"/>
  <c r="I18" i="6"/>
  <c r="X13" i="6"/>
  <c r="AC13" i="6"/>
  <c r="E38" i="6"/>
  <c r="V38" i="6"/>
  <c r="I30" i="6"/>
  <c r="W38" i="6"/>
  <c r="AF10" i="6"/>
  <c r="I27" i="6"/>
  <c r="I34" i="6"/>
  <c r="I9" i="6"/>
  <c r="V13" i="6"/>
  <c r="I20" i="6"/>
  <c r="I47" i="6"/>
  <c r="S13" i="6"/>
  <c r="G16" i="6"/>
  <c r="AJ16" i="6" s="1"/>
  <c r="W13" i="6"/>
  <c r="G17" i="6"/>
  <c r="I31" i="6"/>
  <c r="N38" i="6"/>
  <c r="Z38" i="6"/>
  <c r="I43" i="6"/>
  <c r="D46" i="6"/>
  <c r="G14" i="6"/>
  <c r="F14" i="6" s="1"/>
  <c r="O38" i="6"/>
  <c r="AA38" i="6"/>
  <c r="D42" i="6"/>
  <c r="M13" i="6"/>
  <c r="Y13" i="6"/>
  <c r="G21" i="6"/>
  <c r="I28" i="6"/>
  <c r="N13" i="6"/>
  <c r="Z13" i="6"/>
  <c r="F18" i="6"/>
  <c r="F17" i="6" s="1"/>
  <c r="G25" i="6"/>
  <c r="I48" i="6"/>
  <c r="AD13" i="6"/>
  <c r="O13" i="6"/>
  <c r="AA13" i="6"/>
  <c r="P13" i="6"/>
  <c r="G29" i="6"/>
  <c r="I36" i="6"/>
  <c r="R13" i="6"/>
  <c r="I22" i="6"/>
  <c r="F26" i="6"/>
  <c r="G33" i="6"/>
  <c r="V11" i="6"/>
  <c r="F31" i="6"/>
  <c r="G46" i="6"/>
  <c r="H31" i="6"/>
  <c r="H35" i="6"/>
  <c r="H44" i="6"/>
  <c r="H48" i="6"/>
  <c r="H19" i="6"/>
  <c r="H23" i="6"/>
  <c r="H27" i="6"/>
  <c r="D14" i="6"/>
  <c r="J38" i="6"/>
  <c r="D39" i="6"/>
  <c r="J13" i="6"/>
  <c r="K13" i="6"/>
  <c r="K38" i="6"/>
  <c r="F43" i="6"/>
  <c r="F45" i="6"/>
  <c r="F41" i="6" s="1"/>
  <c r="F47" i="6"/>
  <c r="F46" i="6" s="1"/>
  <c r="H9" i="6"/>
  <c r="H18" i="6"/>
  <c r="H20" i="6"/>
  <c r="H22" i="6"/>
  <c r="H24" i="6"/>
  <c r="H26" i="6"/>
  <c r="H28" i="6"/>
  <c r="H30" i="6"/>
  <c r="H32" i="6"/>
  <c r="H34" i="6"/>
  <c r="H36" i="6"/>
  <c r="H43" i="6"/>
  <c r="H45" i="6"/>
  <c r="H47" i="6"/>
  <c r="H49" i="6"/>
  <c r="G32" i="18"/>
  <c r="E31" i="18"/>
  <c r="D32" i="18"/>
  <c r="D31" i="18" s="1"/>
  <c r="AG31" i="18"/>
  <c r="AF31" i="18"/>
  <c r="AE31" i="18"/>
  <c r="AD31" i="18"/>
  <c r="AC31" i="18"/>
  <c r="AB31" i="18"/>
  <c r="AA31" i="18"/>
  <c r="Z31" i="18"/>
  <c r="Y31" i="18"/>
  <c r="X31" i="18"/>
  <c r="W31" i="18"/>
  <c r="V31" i="18"/>
  <c r="U31" i="18"/>
  <c r="T31" i="18"/>
  <c r="S31" i="18"/>
  <c r="R31" i="18"/>
  <c r="Q31" i="18"/>
  <c r="P31" i="18"/>
  <c r="O31" i="18"/>
  <c r="N31" i="18"/>
  <c r="M31" i="18"/>
  <c r="L31" i="18"/>
  <c r="K31" i="18"/>
  <c r="J31" i="18"/>
  <c r="AG30" i="18"/>
  <c r="AF30" i="18"/>
  <c r="AF29" i="18" s="1"/>
  <c r="AE30" i="18"/>
  <c r="AE29" i="18" s="1"/>
  <c r="AD30" i="18"/>
  <c r="AD29" i="18" s="1"/>
  <c r="AC30" i="18"/>
  <c r="AB30" i="18"/>
  <c r="AB29" i="18" s="1"/>
  <c r="AA30" i="18"/>
  <c r="AA29" i="18" s="1"/>
  <c r="Z30" i="18"/>
  <c r="Z29" i="18" s="1"/>
  <c r="Y30" i="18"/>
  <c r="X30" i="18"/>
  <c r="X29" i="18" s="1"/>
  <c r="W30" i="18"/>
  <c r="W29" i="18" s="1"/>
  <c r="V30" i="18"/>
  <c r="V29" i="18" s="1"/>
  <c r="U30" i="18"/>
  <c r="T30" i="18"/>
  <c r="T29" i="18" s="1"/>
  <c r="S30" i="18"/>
  <c r="S29" i="18" s="1"/>
  <c r="R30" i="18"/>
  <c r="R29" i="18" s="1"/>
  <c r="Q30" i="18"/>
  <c r="P30" i="18"/>
  <c r="P29" i="18" s="1"/>
  <c r="O30" i="18"/>
  <c r="O29" i="18" s="1"/>
  <c r="N30" i="18"/>
  <c r="M30" i="18"/>
  <c r="L30" i="18"/>
  <c r="L29" i="18" s="1"/>
  <c r="K30" i="18"/>
  <c r="K29" i="18" s="1"/>
  <c r="J30" i="18"/>
  <c r="E29" i="18" s="1"/>
  <c r="AG29" i="18"/>
  <c r="AC29" i="18"/>
  <c r="Y29" i="18"/>
  <c r="U29" i="18"/>
  <c r="Q29" i="18"/>
  <c r="M29" i="18"/>
  <c r="E26" i="18"/>
  <c r="D27" i="18"/>
  <c r="D26" i="18" s="1"/>
  <c r="AG26" i="18"/>
  <c r="AF26" i="18"/>
  <c r="AE26" i="18"/>
  <c r="AD26" i="18"/>
  <c r="AC26" i="18"/>
  <c r="AB26" i="18"/>
  <c r="AA26" i="18"/>
  <c r="Z26" i="18"/>
  <c r="Y26" i="18"/>
  <c r="X26" i="18"/>
  <c r="W26" i="18"/>
  <c r="V26" i="18"/>
  <c r="U26" i="18"/>
  <c r="T26" i="18"/>
  <c r="S26" i="18"/>
  <c r="R26" i="18"/>
  <c r="Q26" i="18"/>
  <c r="P26" i="18"/>
  <c r="O26" i="18"/>
  <c r="N26" i="18"/>
  <c r="M26" i="18"/>
  <c r="L26" i="18"/>
  <c r="K26" i="18"/>
  <c r="J26" i="18"/>
  <c r="G25" i="18"/>
  <c r="F25" i="18" s="1"/>
  <c r="F24" i="18" s="1"/>
  <c r="E24" i="18"/>
  <c r="D25" i="18"/>
  <c r="D24" i="18" s="1"/>
  <c r="AG24" i="18"/>
  <c r="AF24" i="18"/>
  <c r="AE24" i="18"/>
  <c r="AD24" i="18"/>
  <c r="AC24" i="18"/>
  <c r="AB24" i="18"/>
  <c r="AA24" i="18"/>
  <c r="Z24" i="18"/>
  <c r="Y24" i="18"/>
  <c r="X24" i="18"/>
  <c r="W24" i="18"/>
  <c r="V24" i="18"/>
  <c r="U24" i="18"/>
  <c r="T24" i="18"/>
  <c r="S24" i="18"/>
  <c r="R24" i="18"/>
  <c r="Q24" i="18"/>
  <c r="P24" i="18"/>
  <c r="O24" i="18"/>
  <c r="N24" i="18"/>
  <c r="M24" i="18"/>
  <c r="L24" i="18"/>
  <c r="K24" i="18"/>
  <c r="J24" i="18"/>
  <c r="G23" i="18"/>
  <c r="D23" i="18"/>
  <c r="D22" i="18" s="1"/>
  <c r="AG22" i="18"/>
  <c r="AF22" i="18"/>
  <c r="AE22" i="18"/>
  <c r="AD22" i="18"/>
  <c r="AC22" i="18"/>
  <c r="AB22" i="18"/>
  <c r="AA22" i="18"/>
  <c r="Z22" i="18"/>
  <c r="Y22" i="18"/>
  <c r="X22" i="18"/>
  <c r="W22" i="18"/>
  <c r="V22" i="18"/>
  <c r="U22" i="18"/>
  <c r="T22" i="18"/>
  <c r="S22" i="18"/>
  <c r="R22" i="18"/>
  <c r="Q22" i="18"/>
  <c r="P22" i="18"/>
  <c r="O22" i="18"/>
  <c r="N22" i="18"/>
  <c r="M22" i="18"/>
  <c r="L22" i="18"/>
  <c r="K22" i="18"/>
  <c r="J22" i="18"/>
  <c r="E22" i="18"/>
  <c r="AG21" i="18"/>
  <c r="AG20" i="18" s="1"/>
  <c r="AF21" i="18"/>
  <c r="AF20" i="18" s="1"/>
  <c r="AE21" i="18"/>
  <c r="AE20" i="18" s="1"/>
  <c r="AD21" i="18"/>
  <c r="AD20" i="18" s="1"/>
  <c r="AC21" i="18"/>
  <c r="AC20" i="18" s="1"/>
  <c r="AB21" i="18"/>
  <c r="AA21" i="18"/>
  <c r="AA20" i="18" s="1"/>
  <c r="Z21" i="18"/>
  <c r="Z20" i="18" s="1"/>
  <c r="Y21" i="18"/>
  <c r="Y20" i="18" s="1"/>
  <c r="X21" i="18"/>
  <c r="X20" i="18" s="1"/>
  <c r="W21" i="18"/>
  <c r="V21" i="18"/>
  <c r="V20" i="18" s="1"/>
  <c r="U21" i="18"/>
  <c r="U20" i="18" s="1"/>
  <c r="T21" i="18"/>
  <c r="S21" i="18"/>
  <c r="R21" i="18"/>
  <c r="Q21" i="18"/>
  <c r="Q20" i="18" s="1"/>
  <c r="P21" i="18"/>
  <c r="P20" i="18" s="1"/>
  <c r="O21" i="18"/>
  <c r="N21" i="18"/>
  <c r="M21" i="18"/>
  <c r="M20" i="18" s="1"/>
  <c r="L21" i="18"/>
  <c r="K21" i="18"/>
  <c r="K20" i="18" s="1"/>
  <c r="J21" i="18"/>
  <c r="AB20" i="18"/>
  <c r="W20" i="18"/>
  <c r="T20" i="18"/>
  <c r="S20" i="18"/>
  <c r="R20" i="18"/>
  <c r="L20" i="18"/>
  <c r="G18" i="18"/>
  <c r="E17" i="18"/>
  <c r="D18" i="18"/>
  <c r="D17" i="18" s="1"/>
  <c r="AG17" i="18"/>
  <c r="AF17" i="18"/>
  <c r="AE17" i="18"/>
  <c r="AD17" i="18"/>
  <c r="AC17" i="18"/>
  <c r="AB17" i="18"/>
  <c r="AA17" i="18"/>
  <c r="Z17" i="18"/>
  <c r="Y17" i="18"/>
  <c r="X17" i="18"/>
  <c r="W17" i="18"/>
  <c r="V17" i="18"/>
  <c r="U17" i="18"/>
  <c r="T17" i="18"/>
  <c r="S17" i="18"/>
  <c r="R17" i="18"/>
  <c r="Q17" i="18"/>
  <c r="P17" i="18"/>
  <c r="O17" i="18"/>
  <c r="N17" i="18"/>
  <c r="M17" i="18"/>
  <c r="L17" i="18"/>
  <c r="K17" i="18"/>
  <c r="J17" i="18"/>
  <c r="G16" i="18"/>
  <c r="E15" i="18"/>
  <c r="D16" i="18"/>
  <c r="D15" i="18" s="1"/>
  <c r="AG15" i="18"/>
  <c r="AF15" i="18"/>
  <c r="AE15" i="18"/>
  <c r="AD15" i="18"/>
  <c r="AC15" i="18"/>
  <c r="AB15" i="18"/>
  <c r="AA15" i="18"/>
  <c r="Z15" i="18"/>
  <c r="Y15" i="18"/>
  <c r="X15" i="18"/>
  <c r="W15" i="18"/>
  <c r="V15" i="18"/>
  <c r="U15" i="18"/>
  <c r="T15" i="18"/>
  <c r="S15" i="18"/>
  <c r="R15" i="18"/>
  <c r="Q15" i="18"/>
  <c r="P15" i="18"/>
  <c r="O15" i="18"/>
  <c r="N15" i="18"/>
  <c r="M15" i="18"/>
  <c r="L15" i="18"/>
  <c r="K15" i="18"/>
  <c r="J15" i="18"/>
  <c r="G15" i="18"/>
  <c r="G14" i="18"/>
  <c r="E13" i="18"/>
  <c r="D14" i="18"/>
  <c r="D13" i="18" s="1"/>
  <c r="AG13" i="18"/>
  <c r="AF13" i="18"/>
  <c r="AE13" i="18"/>
  <c r="AD13" i="18"/>
  <c r="AC13" i="18"/>
  <c r="AB13" i="18"/>
  <c r="AA13" i="18"/>
  <c r="Z13" i="18"/>
  <c r="Y13" i="18"/>
  <c r="X13" i="18"/>
  <c r="W13" i="18"/>
  <c r="V13" i="18"/>
  <c r="U13" i="18"/>
  <c r="T13" i="18"/>
  <c r="S13" i="18"/>
  <c r="R13" i="18"/>
  <c r="Q13" i="18"/>
  <c r="P13" i="18"/>
  <c r="O13" i="18"/>
  <c r="N13" i="18"/>
  <c r="M13" i="18"/>
  <c r="L13" i="18"/>
  <c r="K13" i="18"/>
  <c r="J13" i="18"/>
  <c r="AG12" i="18"/>
  <c r="AF12" i="18"/>
  <c r="AE12" i="18"/>
  <c r="AD12" i="18"/>
  <c r="AC12" i="18"/>
  <c r="AC11" i="18" s="1"/>
  <c r="AB12" i="18"/>
  <c r="AB11" i="18" s="1"/>
  <c r="AA12" i="18"/>
  <c r="AA11" i="18" s="1"/>
  <c r="Z12" i="18"/>
  <c r="Z9" i="18" s="1"/>
  <c r="Z8" i="18" s="1"/>
  <c r="Y12" i="18"/>
  <c r="Y11" i="18" s="1"/>
  <c r="X12" i="18"/>
  <c r="W12" i="18"/>
  <c r="V12" i="18"/>
  <c r="V11" i="18" s="1"/>
  <c r="U12" i="18"/>
  <c r="T12" i="18"/>
  <c r="T11" i="18" s="1"/>
  <c r="S12" i="18"/>
  <c r="S11" i="18" s="1"/>
  <c r="R12" i="18"/>
  <c r="Q12" i="18"/>
  <c r="Q11" i="18" s="1"/>
  <c r="P12" i="18"/>
  <c r="O12" i="18"/>
  <c r="N12" i="18"/>
  <c r="N11" i="18" s="1"/>
  <c r="M12" i="18"/>
  <c r="L12" i="18"/>
  <c r="L11" i="18" s="1"/>
  <c r="K12" i="18"/>
  <c r="K11" i="18" s="1"/>
  <c r="J12" i="18"/>
  <c r="E11" i="18" s="1"/>
  <c r="AG11" i="18"/>
  <c r="AE11" i="18"/>
  <c r="Z11" i="18"/>
  <c r="W11" i="18"/>
  <c r="U11" i="18"/>
  <c r="R11" i="18"/>
  <c r="O11" i="18"/>
  <c r="M11" i="18"/>
  <c r="L9" i="18"/>
  <c r="L8" i="18" s="1"/>
  <c r="G27" i="11"/>
  <c r="F27" i="11" s="1"/>
  <c r="D27" i="11"/>
  <c r="D26" i="11" s="1"/>
  <c r="AG26" i="11"/>
  <c r="AF26" i="11"/>
  <c r="AE26" i="11"/>
  <c r="AD26" i="11"/>
  <c r="AC26" i="11"/>
  <c r="AB26" i="11"/>
  <c r="AA26" i="11"/>
  <c r="Z26" i="11"/>
  <c r="Y26" i="11"/>
  <c r="X26" i="11"/>
  <c r="W26" i="11"/>
  <c r="V26" i="11"/>
  <c r="U26" i="11"/>
  <c r="T26" i="11"/>
  <c r="S26" i="11"/>
  <c r="R26" i="11"/>
  <c r="Q26" i="11"/>
  <c r="P26" i="11"/>
  <c r="O26" i="11"/>
  <c r="N26" i="11"/>
  <c r="M26" i="11"/>
  <c r="L26" i="11"/>
  <c r="K26" i="11"/>
  <c r="J26" i="11"/>
  <c r="E26" i="11"/>
  <c r="AI26" i="11" s="1"/>
  <c r="G25" i="11"/>
  <c r="D25" i="11"/>
  <c r="D24" i="11" s="1"/>
  <c r="AG24" i="11"/>
  <c r="AF24" i="11"/>
  <c r="AE24" i="11"/>
  <c r="AD24" i="11"/>
  <c r="AC24" i="11"/>
  <c r="AB24" i="11"/>
  <c r="AA24" i="11"/>
  <c r="Z24" i="11"/>
  <c r="Y24" i="11"/>
  <c r="X24" i="11"/>
  <c r="W24" i="11"/>
  <c r="V24" i="11"/>
  <c r="U24" i="11"/>
  <c r="T24" i="11"/>
  <c r="S24" i="11"/>
  <c r="R24" i="11"/>
  <c r="Q24" i="11"/>
  <c r="P24" i="11"/>
  <c r="O24" i="11"/>
  <c r="N24" i="11"/>
  <c r="M24" i="11"/>
  <c r="L24" i="11"/>
  <c r="K24" i="11"/>
  <c r="J24" i="11"/>
  <c r="G22" i="11"/>
  <c r="E21" i="11"/>
  <c r="AI21" i="11" s="1"/>
  <c r="D22" i="11"/>
  <c r="D21" i="11" s="1"/>
  <c r="AG21" i="11"/>
  <c r="AF21" i="11"/>
  <c r="AE21" i="11"/>
  <c r="AD21" i="11"/>
  <c r="AC21" i="11"/>
  <c r="AB21" i="11"/>
  <c r="AA21" i="11"/>
  <c r="Z21" i="11"/>
  <c r="Y21" i="11"/>
  <c r="X21" i="11"/>
  <c r="W21" i="11"/>
  <c r="V21" i="11"/>
  <c r="U21" i="11"/>
  <c r="T21" i="11"/>
  <c r="S21" i="11"/>
  <c r="R21" i="11"/>
  <c r="Q21" i="11"/>
  <c r="P21" i="11"/>
  <c r="O21" i="11"/>
  <c r="N21" i="11"/>
  <c r="M21" i="11"/>
  <c r="L21" i="11"/>
  <c r="K21" i="11"/>
  <c r="J21" i="11"/>
  <c r="G20" i="11"/>
  <c r="F20" i="11" s="1"/>
  <c r="F19" i="11" s="1"/>
  <c r="E19" i="11"/>
  <c r="AI19" i="11" s="1"/>
  <c r="D20" i="11"/>
  <c r="D19" i="11" s="1"/>
  <c r="AG19" i="11"/>
  <c r="AF19" i="11"/>
  <c r="AE19" i="11"/>
  <c r="AD19" i="11"/>
  <c r="AC19" i="11"/>
  <c r="AB19" i="11"/>
  <c r="AA19" i="11"/>
  <c r="Z19" i="11"/>
  <c r="Y19" i="11"/>
  <c r="X19" i="11"/>
  <c r="W19" i="11"/>
  <c r="V19" i="11"/>
  <c r="U19" i="11"/>
  <c r="T19" i="11"/>
  <c r="S19" i="11"/>
  <c r="R19" i="11"/>
  <c r="Q19" i="11"/>
  <c r="P19" i="11"/>
  <c r="O19" i="11"/>
  <c r="N19" i="11"/>
  <c r="M19" i="11"/>
  <c r="L19" i="11"/>
  <c r="K19" i="11"/>
  <c r="J19" i="11"/>
  <c r="G18" i="11"/>
  <c r="D18" i="11"/>
  <c r="D17" i="11" s="1"/>
  <c r="AG17" i="11"/>
  <c r="AF17" i="11"/>
  <c r="AE17" i="11"/>
  <c r="AD17" i="11"/>
  <c r="AC17" i="11"/>
  <c r="AB17" i="11"/>
  <c r="AA17" i="11"/>
  <c r="Z17" i="11"/>
  <c r="Y17" i="11"/>
  <c r="X17" i="11"/>
  <c r="W17" i="11"/>
  <c r="V17" i="11"/>
  <c r="U17" i="11"/>
  <c r="T17" i="11"/>
  <c r="R17" i="11"/>
  <c r="Q17" i="11"/>
  <c r="P17" i="11"/>
  <c r="O17" i="11"/>
  <c r="N17" i="11"/>
  <c r="M17" i="11"/>
  <c r="L17" i="11"/>
  <c r="K17" i="11"/>
  <c r="J17" i="11"/>
  <c r="E17" i="11"/>
  <c r="AI17" i="11" s="1"/>
  <c r="G16" i="11"/>
  <c r="F16" i="11" s="1"/>
  <c r="F15" i="11" s="1"/>
  <c r="D16" i="11"/>
  <c r="D15" i="11" s="1"/>
  <c r="AG15" i="11"/>
  <c r="AF15" i="11"/>
  <c r="AE15" i="11"/>
  <c r="AD15" i="11"/>
  <c r="AC15" i="11"/>
  <c r="AB15" i="11"/>
  <c r="AA15" i="11"/>
  <c r="Z15" i="11"/>
  <c r="Y15" i="11"/>
  <c r="X15" i="11"/>
  <c r="W15" i="11"/>
  <c r="V15" i="11"/>
  <c r="U15" i="11"/>
  <c r="S15" i="11"/>
  <c r="R15" i="11"/>
  <c r="Q15" i="11"/>
  <c r="P15" i="11"/>
  <c r="O15" i="11"/>
  <c r="N15" i="11"/>
  <c r="M15" i="11"/>
  <c r="L15" i="11"/>
  <c r="K15" i="11"/>
  <c r="J15" i="11"/>
  <c r="E15" i="11"/>
  <c r="AI15" i="11" s="1"/>
  <c r="G14" i="11"/>
  <c r="D14" i="11"/>
  <c r="D13" i="11" s="1"/>
  <c r="AG13" i="11"/>
  <c r="AF13" i="11"/>
  <c r="AE13" i="11"/>
  <c r="AD13" i="11"/>
  <c r="AC13" i="11"/>
  <c r="AB13" i="11"/>
  <c r="AA13" i="11"/>
  <c r="Z13" i="11"/>
  <c r="Y13" i="11"/>
  <c r="X13" i="11"/>
  <c r="W13" i="11"/>
  <c r="V13" i="11"/>
  <c r="U13" i="11"/>
  <c r="T13" i="11"/>
  <c r="S13" i="11"/>
  <c r="R13" i="11"/>
  <c r="Q13" i="11"/>
  <c r="P13" i="11"/>
  <c r="O13" i="11"/>
  <c r="N13" i="11"/>
  <c r="M13" i="11"/>
  <c r="L13" i="11"/>
  <c r="K13" i="11"/>
  <c r="J13" i="11"/>
  <c r="E13" i="11"/>
  <c r="AI13" i="11" s="1"/>
  <c r="AG12" i="11"/>
  <c r="AG9" i="11" s="1"/>
  <c r="AG8" i="11" s="1"/>
  <c r="AF12" i="11"/>
  <c r="AF9" i="11" s="1"/>
  <c r="AF8" i="11" s="1"/>
  <c r="AE12" i="11"/>
  <c r="AE9" i="11" s="1"/>
  <c r="AE8" i="11" s="1"/>
  <c r="AD12" i="11"/>
  <c r="AD9" i="11" s="1"/>
  <c r="AD8" i="11" s="1"/>
  <c r="AC12" i="11"/>
  <c r="AC11" i="11" s="1"/>
  <c r="AB12" i="11"/>
  <c r="AB11" i="11" s="1"/>
  <c r="AA12" i="11"/>
  <c r="AA11" i="11" s="1"/>
  <c r="Z12" i="11"/>
  <c r="Z11" i="11" s="1"/>
  <c r="Y12" i="11"/>
  <c r="Y9" i="11" s="1"/>
  <c r="Y8" i="11" s="1"/>
  <c r="X12" i="11"/>
  <c r="X9" i="11" s="1"/>
  <c r="X8" i="11" s="1"/>
  <c r="W12" i="11"/>
  <c r="W9" i="11" s="1"/>
  <c r="W8" i="11" s="1"/>
  <c r="V12" i="11"/>
  <c r="V9" i="11" s="1"/>
  <c r="V8" i="11" s="1"/>
  <c r="U12" i="11"/>
  <c r="U11" i="11" s="1"/>
  <c r="T12" i="11"/>
  <c r="T11" i="11" s="1"/>
  <c r="S12" i="11"/>
  <c r="S11" i="11" s="1"/>
  <c r="R12" i="11"/>
  <c r="R11" i="11" s="1"/>
  <c r="Q12" i="11"/>
  <c r="Q11" i="11" s="1"/>
  <c r="P9" i="11"/>
  <c r="O12" i="11"/>
  <c r="O9" i="11" s="1"/>
  <c r="O8" i="11" s="1"/>
  <c r="N12" i="11"/>
  <c r="M12" i="11"/>
  <c r="M11" i="11" s="1"/>
  <c r="L12" i="11"/>
  <c r="L9" i="11" s="1"/>
  <c r="L8" i="11" s="1"/>
  <c r="K11" i="11"/>
  <c r="J12" i="11"/>
  <c r="E11" i="11" s="1"/>
  <c r="AG11" i="11"/>
  <c r="T9" i="11"/>
  <c r="T8" i="11" s="1"/>
  <c r="D13" i="15"/>
  <c r="AG13" i="15"/>
  <c r="AF13" i="15"/>
  <c r="AE13" i="15"/>
  <c r="AD13" i="15"/>
  <c r="AC13" i="15"/>
  <c r="AB13" i="15"/>
  <c r="AA13" i="15"/>
  <c r="Z13" i="15"/>
  <c r="Y13" i="15"/>
  <c r="X13" i="15"/>
  <c r="W13" i="15"/>
  <c r="V13" i="15"/>
  <c r="U13" i="15"/>
  <c r="T13" i="15"/>
  <c r="S13" i="15"/>
  <c r="R13" i="15"/>
  <c r="Q13" i="15"/>
  <c r="P13" i="15"/>
  <c r="O13" i="15"/>
  <c r="N13" i="15"/>
  <c r="M13" i="15"/>
  <c r="L13" i="15"/>
  <c r="K13" i="15"/>
  <c r="J13" i="15"/>
  <c r="E13" i="15"/>
  <c r="AG12" i="15"/>
  <c r="AG9" i="15" s="1"/>
  <c r="AG8" i="15" s="1"/>
  <c r="AF12" i="15"/>
  <c r="AF11" i="15" s="1"/>
  <c r="AE12" i="15"/>
  <c r="AE9" i="15" s="1"/>
  <c r="AE8" i="15" s="1"/>
  <c r="AD12" i="15"/>
  <c r="AD9" i="15" s="1"/>
  <c r="AD8" i="15" s="1"/>
  <c r="AC12" i="15"/>
  <c r="AC11" i="15" s="1"/>
  <c r="AB12" i="15"/>
  <c r="AA12" i="15"/>
  <c r="AA11" i="15" s="1"/>
  <c r="Z12" i="15"/>
  <c r="Z9" i="15" s="1"/>
  <c r="Z8" i="15" s="1"/>
  <c r="Y12" i="15"/>
  <c r="Y11" i="15" s="1"/>
  <c r="X12" i="15"/>
  <c r="X11" i="15" s="1"/>
  <c r="W12" i="15"/>
  <c r="W9" i="15" s="1"/>
  <c r="W8" i="15" s="1"/>
  <c r="V12" i="15"/>
  <c r="V9" i="15" s="1"/>
  <c r="V8" i="15" s="1"/>
  <c r="U12" i="15"/>
  <c r="U9" i="15" s="1"/>
  <c r="U8" i="15" s="1"/>
  <c r="T12" i="15"/>
  <c r="S8" i="15"/>
  <c r="R12" i="15"/>
  <c r="Q12" i="15"/>
  <c r="Q9" i="15" s="1"/>
  <c r="P12" i="15"/>
  <c r="P11" i="15" s="1"/>
  <c r="O12" i="15"/>
  <c r="N12" i="15"/>
  <c r="M12" i="15"/>
  <c r="M11" i="15" s="1"/>
  <c r="L12" i="15"/>
  <c r="L9" i="15" s="1"/>
  <c r="L8" i="15" s="1"/>
  <c r="K12" i="15"/>
  <c r="K9" i="15" s="1"/>
  <c r="K8" i="15" s="1"/>
  <c r="J12" i="15"/>
  <c r="AG11" i="15"/>
  <c r="AB11" i="15"/>
  <c r="U11" i="15"/>
  <c r="S11" i="15"/>
  <c r="R11" i="15"/>
  <c r="L11" i="15"/>
  <c r="J11" i="15"/>
  <c r="AB9" i="15"/>
  <c r="AB8" i="15" s="1"/>
  <c r="Y9" i="15"/>
  <c r="Y8" i="15" s="1"/>
  <c r="X9" i="15"/>
  <c r="X8" i="15" s="1"/>
  <c r="R9" i="15"/>
  <c r="R8" i="15" s="1"/>
  <c r="Q8" i="15"/>
  <c r="J9" i="15"/>
  <c r="J8" i="15" s="1"/>
  <c r="P8" i="11" l="1"/>
  <c r="E9" i="11"/>
  <c r="AC9" i="11"/>
  <c r="AC8" i="11" s="1"/>
  <c r="AB9" i="11"/>
  <c r="AB8" i="11" s="1"/>
  <c r="J9" i="11"/>
  <c r="J8" i="11" s="1"/>
  <c r="O8" i="6"/>
  <c r="Y8" i="6"/>
  <c r="M8" i="6"/>
  <c r="K8" i="11"/>
  <c r="U9" i="11"/>
  <c r="U8" i="11" s="1"/>
  <c r="Y11" i="11"/>
  <c r="T9" i="18"/>
  <c r="T8" i="18" s="1"/>
  <c r="J11" i="18"/>
  <c r="J20" i="18"/>
  <c r="E20" i="18"/>
  <c r="R9" i="18"/>
  <c r="R8" i="18" s="1"/>
  <c r="J29" i="18"/>
  <c r="AC9" i="15"/>
  <c r="AC8" i="15" s="1"/>
  <c r="P9" i="18"/>
  <c r="P8" i="18" s="1"/>
  <c r="X9" i="18"/>
  <c r="X8" i="18" s="1"/>
  <c r="AF9" i="18"/>
  <c r="AF8" i="18" s="1"/>
  <c r="M9" i="11"/>
  <c r="M8" i="11" s="1"/>
  <c r="Q9" i="11"/>
  <c r="Q8" i="11" s="1"/>
  <c r="AG9" i="18"/>
  <c r="AG8" i="18" s="1"/>
  <c r="AG8" i="6"/>
  <c r="T11" i="15"/>
  <c r="E11" i="15"/>
  <c r="V8" i="6"/>
  <c r="Q11" i="15"/>
  <c r="I14" i="15"/>
  <c r="F13" i="15"/>
  <c r="O9" i="15"/>
  <c r="O8" i="15" s="1"/>
  <c r="G12" i="15"/>
  <c r="G11" i="15" s="1"/>
  <c r="U8" i="6"/>
  <c r="W8" i="6"/>
  <c r="D12" i="11"/>
  <c r="D11" i="11" s="1"/>
  <c r="I15" i="18"/>
  <c r="H15" i="18"/>
  <c r="I16" i="18"/>
  <c r="H16" i="18"/>
  <c r="L11" i="11"/>
  <c r="R9" i="11"/>
  <c r="R8" i="11" s="1"/>
  <c r="M9" i="18"/>
  <c r="M8" i="18" s="1"/>
  <c r="U9" i="18"/>
  <c r="U8" i="18" s="1"/>
  <c r="AB9" i="18"/>
  <c r="AB8" i="18" s="1"/>
  <c r="I14" i="18"/>
  <c r="H14" i="18"/>
  <c r="I18" i="18"/>
  <c r="H18" i="18"/>
  <c r="D21" i="18"/>
  <c r="I20" i="11"/>
  <c r="H20" i="11"/>
  <c r="I22" i="11"/>
  <c r="H22" i="11"/>
  <c r="Q9" i="18"/>
  <c r="Q8" i="18" s="1"/>
  <c r="W9" i="18"/>
  <c r="W8" i="18" s="1"/>
  <c r="AC9" i="18"/>
  <c r="AC8" i="18" s="1"/>
  <c r="AD9" i="18"/>
  <c r="AD8" i="18" s="1"/>
  <c r="G17" i="18"/>
  <c r="O9" i="18"/>
  <c r="O8" i="18" s="1"/>
  <c r="I25" i="18"/>
  <c r="H25" i="18"/>
  <c r="I27" i="18"/>
  <c r="H27" i="18"/>
  <c r="G30" i="18"/>
  <c r="G29" i="18" s="1"/>
  <c r="I32" i="18"/>
  <c r="I16" i="11"/>
  <c r="H16" i="11"/>
  <c r="S9" i="11"/>
  <c r="S8" i="11" s="1"/>
  <c r="Z9" i="11"/>
  <c r="Z8" i="11" s="1"/>
  <c r="P9" i="15"/>
  <c r="P8" i="15" s="1"/>
  <c r="T9" i="15"/>
  <c r="T8" i="15" s="1"/>
  <c r="AA9" i="15"/>
  <c r="AA8" i="15" s="1"/>
  <c r="AA9" i="11"/>
  <c r="AA8" i="11" s="1"/>
  <c r="J11" i="11"/>
  <c r="G12" i="11"/>
  <c r="I14" i="11"/>
  <c r="H14" i="11"/>
  <c r="J9" i="18"/>
  <c r="Y9" i="18"/>
  <c r="Y8" i="18" s="1"/>
  <c r="AE9" i="18"/>
  <c r="AE8" i="18" s="1"/>
  <c r="F16" i="18"/>
  <c r="F15" i="18" s="1"/>
  <c r="D30" i="18"/>
  <c r="D29" i="18" s="1"/>
  <c r="I18" i="11"/>
  <c r="H18" i="11"/>
  <c r="I27" i="11"/>
  <c r="H27" i="11"/>
  <c r="I9" i="11"/>
  <c r="I25" i="11"/>
  <c r="H25" i="11"/>
  <c r="F25" i="11"/>
  <c r="K8" i="6"/>
  <c r="AA8" i="6"/>
  <c r="AF8" i="6"/>
  <c r="S8" i="6"/>
  <c r="N8" i="6"/>
  <c r="Z8" i="6"/>
  <c r="O20" i="18"/>
  <c r="G21" i="18"/>
  <c r="I23" i="18"/>
  <c r="H23" i="18"/>
  <c r="AE8" i="6"/>
  <c r="F29" i="6"/>
  <c r="X8" i="6"/>
  <c r="Q8" i="6"/>
  <c r="F16" i="6"/>
  <c r="F11" i="6" s="1"/>
  <c r="D38" i="6"/>
  <c r="F33" i="6"/>
  <c r="F15" i="6"/>
  <c r="G13" i="6"/>
  <c r="G11" i="6"/>
  <c r="AJ11" i="6" s="1"/>
  <c r="D13" i="6"/>
  <c r="L8" i="6"/>
  <c r="D10" i="6"/>
  <c r="D11" i="6"/>
  <c r="M9" i="15"/>
  <c r="M8" i="15" s="1"/>
  <c r="Z11" i="15"/>
  <c r="J8" i="6"/>
  <c r="AF9" i="15"/>
  <c r="AF8" i="15" s="1"/>
  <c r="D12" i="15"/>
  <c r="D9" i="15" s="1"/>
  <c r="D8" i="15" s="1"/>
  <c r="AJ21" i="6"/>
  <c r="AJ15" i="6"/>
  <c r="G10" i="6"/>
  <c r="AJ46" i="6"/>
  <c r="AJ39" i="6"/>
  <c r="AJ33" i="6"/>
  <c r="AJ25" i="6"/>
  <c r="AJ17" i="6"/>
  <c r="AJ41" i="6"/>
  <c r="AJ29" i="6"/>
  <c r="AJ14" i="6"/>
  <c r="AJ40" i="6"/>
  <c r="AJ42" i="6"/>
  <c r="T8" i="6"/>
  <c r="K11" i="15"/>
  <c r="P8" i="6"/>
  <c r="AB8" i="6"/>
  <c r="AC8" i="6"/>
  <c r="H14" i="6"/>
  <c r="I15" i="6"/>
  <c r="R8" i="6"/>
  <c r="AD8" i="6"/>
  <c r="I42" i="6"/>
  <c r="I33" i="6"/>
  <c r="I21" i="6"/>
  <c r="H15" i="6"/>
  <c r="I17" i="6"/>
  <c r="I25" i="6"/>
  <c r="H42" i="6"/>
  <c r="I39" i="6"/>
  <c r="G38" i="6"/>
  <c r="I38" i="6" s="1"/>
  <c r="H39" i="6"/>
  <c r="I29" i="6"/>
  <c r="F38" i="6"/>
  <c r="F21" i="6"/>
  <c r="F42" i="6"/>
  <c r="H29" i="6"/>
  <c r="H25" i="6"/>
  <c r="I14" i="6"/>
  <c r="H17" i="6"/>
  <c r="H41" i="6"/>
  <c r="H33" i="6"/>
  <c r="H40" i="6"/>
  <c r="H21" i="6"/>
  <c r="F25" i="6"/>
  <c r="I16" i="6"/>
  <c r="I46" i="6"/>
  <c r="H46" i="6"/>
  <c r="H16" i="6"/>
  <c r="D20" i="18"/>
  <c r="K9" i="18"/>
  <c r="S9" i="18"/>
  <c r="S8" i="18" s="1"/>
  <c r="AA9" i="18"/>
  <c r="AA8" i="18" s="1"/>
  <c r="G12" i="18"/>
  <c r="AD11" i="18"/>
  <c r="N20" i="18"/>
  <c r="N29" i="18"/>
  <c r="G24" i="18"/>
  <c r="N9" i="18"/>
  <c r="N8" i="18" s="1"/>
  <c r="V9" i="18"/>
  <c r="V8" i="18" s="1"/>
  <c r="P11" i="18"/>
  <c r="X11" i="18"/>
  <c r="AF11" i="18"/>
  <c r="F14" i="18"/>
  <c r="F13" i="18" s="1"/>
  <c r="F18" i="18"/>
  <c r="F17" i="18" s="1"/>
  <c r="F22" i="18"/>
  <c r="F27" i="18"/>
  <c r="F26" i="18" s="1"/>
  <c r="F32" i="18"/>
  <c r="F31" i="18" s="1"/>
  <c r="J8" i="18"/>
  <c r="D12" i="18"/>
  <c r="D11" i="18" s="1"/>
  <c r="H32" i="18"/>
  <c r="G13" i="18"/>
  <c r="G22" i="18"/>
  <c r="G26" i="18"/>
  <c r="G31" i="18"/>
  <c r="N11" i="11"/>
  <c r="V11" i="11"/>
  <c r="AD11" i="11"/>
  <c r="O11" i="11"/>
  <c r="W11" i="11"/>
  <c r="AE11" i="11"/>
  <c r="G15" i="11"/>
  <c r="G19" i="11"/>
  <c r="G24" i="11"/>
  <c r="N9" i="11"/>
  <c r="N8" i="11" s="1"/>
  <c r="P11" i="11"/>
  <c r="X11" i="11"/>
  <c r="AF11" i="11"/>
  <c r="F14" i="11"/>
  <c r="F18" i="11"/>
  <c r="F17" i="11" s="1"/>
  <c r="F22" i="11"/>
  <c r="F21" i="11" s="1"/>
  <c r="F26" i="11"/>
  <c r="G17" i="11"/>
  <c r="H17" i="11" s="1"/>
  <c r="G21" i="11"/>
  <c r="G26" i="11"/>
  <c r="N11" i="15"/>
  <c r="V11" i="15"/>
  <c r="AD11" i="15"/>
  <c r="O11" i="15"/>
  <c r="W11" i="15"/>
  <c r="AE11" i="15"/>
  <c r="N9" i="15"/>
  <c r="N8" i="15" s="1"/>
  <c r="H14" i="15"/>
  <c r="G13" i="15"/>
  <c r="I15" i="7"/>
  <c r="AG14" i="7"/>
  <c r="AF14" i="7"/>
  <c r="AE14" i="7"/>
  <c r="AD14" i="7"/>
  <c r="AC14" i="7"/>
  <c r="AB14" i="7"/>
  <c r="AA14" i="7"/>
  <c r="Z14" i="7"/>
  <c r="Y14" i="7"/>
  <c r="X14" i="7"/>
  <c r="W14" i="7"/>
  <c r="V14" i="7"/>
  <c r="U14" i="7"/>
  <c r="T14" i="7"/>
  <c r="S14" i="7"/>
  <c r="R14" i="7"/>
  <c r="Q14" i="7"/>
  <c r="P14" i="7"/>
  <c r="O14" i="7"/>
  <c r="N14" i="7"/>
  <c r="M14" i="7"/>
  <c r="L14" i="7"/>
  <c r="K14" i="7"/>
  <c r="J14" i="7"/>
  <c r="G14" i="7"/>
  <c r="I14" i="7" s="1"/>
  <c r="I13" i="7"/>
  <c r="D12" i="7"/>
  <c r="AG12" i="7"/>
  <c r="AF12" i="7"/>
  <c r="AE12" i="7"/>
  <c r="AD12" i="7"/>
  <c r="AC12" i="7"/>
  <c r="AB12" i="7"/>
  <c r="AA12" i="7"/>
  <c r="Z12" i="7"/>
  <c r="Y12" i="7"/>
  <c r="X12" i="7"/>
  <c r="W12" i="7"/>
  <c r="V12" i="7"/>
  <c r="U12" i="7"/>
  <c r="T12" i="7"/>
  <c r="S12" i="7"/>
  <c r="R12" i="7"/>
  <c r="Q12" i="7"/>
  <c r="P12" i="7"/>
  <c r="O12" i="7"/>
  <c r="N12" i="7"/>
  <c r="M12" i="7"/>
  <c r="L12" i="7"/>
  <c r="K12" i="7"/>
  <c r="J12" i="7"/>
  <c r="G12" i="7"/>
  <c r="AG10" i="7"/>
  <c r="AF10" i="7"/>
  <c r="AE10" i="7"/>
  <c r="AD10" i="7"/>
  <c r="AC10" i="7"/>
  <c r="AB10" i="7"/>
  <c r="AA10" i="7"/>
  <c r="Z10" i="7"/>
  <c r="Y10" i="7"/>
  <c r="Y8" i="7" s="1"/>
  <c r="X10" i="7"/>
  <c r="X8" i="7" s="1"/>
  <c r="W10" i="7"/>
  <c r="V10" i="7"/>
  <c r="U10" i="7"/>
  <c r="T10" i="7"/>
  <c r="S10" i="7"/>
  <c r="R10" i="7"/>
  <c r="Q10" i="7"/>
  <c r="P10" i="7"/>
  <c r="O10" i="7"/>
  <c r="N10" i="7"/>
  <c r="M10" i="7"/>
  <c r="M8" i="7" s="1"/>
  <c r="L10" i="7"/>
  <c r="L8" i="7" s="1"/>
  <c r="K10" i="7"/>
  <c r="J10" i="7"/>
  <c r="G8" i="7"/>
  <c r="E8" i="7"/>
  <c r="AG9" i="7"/>
  <c r="AF9" i="7"/>
  <c r="AE9" i="7"/>
  <c r="AE8" i="7" s="1"/>
  <c r="AD9" i="7"/>
  <c r="AD8" i="7" s="1"/>
  <c r="AC9" i="7"/>
  <c r="AB9" i="7"/>
  <c r="AA9" i="7"/>
  <c r="AA8" i="7" s="1"/>
  <c r="Z9" i="7"/>
  <c r="Z8" i="7" s="1"/>
  <c r="Y9" i="7"/>
  <c r="X9" i="7"/>
  <c r="W9" i="7"/>
  <c r="W8" i="7" s="1"/>
  <c r="V9" i="7"/>
  <c r="U9" i="7"/>
  <c r="T9" i="7"/>
  <c r="S9" i="7"/>
  <c r="S8" i="7" s="1"/>
  <c r="R9" i="7"/>
  <c r="R8" i="7" s="1"/>
  <c r="Q9" i="7"/>
  <c r="P9" i="7"/>
  <c r="O9" i="7"/>
  <c r="N9" i="7"/>
  <c r="M9" i="7"/>
  <c r="L9" i="7"/>
  <c r="K9" i="7"/>
  <c r="K8" i="7" s="1"/>
  <c r="J9" i="7"/>
  <c r="O8" i="7"/>
  <c r="N8" i="7"/>
  <c r="G100" i="4"/>
  <c r="E99" i="4"/>
  <c r="D100" i="4"/>
  <c r="D99" i="4" s="1"/>
  <c r="AG99" i="4"/>
  <c r="AF99" i="4"/>
  <c r="AE99" i="4"/>
  <c r="AD99" i="4"/>
  <c r="AC99" i="4"/>
  <c r="AB99" i="4"/>
  <c r="AA99" i="4"/>
  <c r="Z99" i="4"/>
  <c r="Y99" i="4"/>
  <c r="X99" i="4"/>
  <c r="W99" i="4"/>
  <c r="V99" i="4"/>
  <c r="U99" i="4"/>
  <c r="T99" i="4"/>
  <c r="S99" i="4"/>
  <c r="R99" i="4"/>
  <c r="Q99" i="4"/>
  <c r="P99" i="4"/>
  <c r="O99" i="4"/>
  <c r="N99" i="4"/>
  <c r="M99" i="4"/>
  <c r="L99" i="4"/>
  <c r="K99" i="4"/>
  <c r="J99" i="4"/>
  <c r="G98" i="4"/>
  <c r="G97" i="4" s="1"/>
  <c r="E97" i="4"/>
  <c r="D98" i="4"/>
  <c r="D97" i="4" s="1"/>
  <c r="AG97" i="4"/>
  <c r="AF97" i="4"/>
  <c r="AE97" i="4"/>
  <c r="AD97" i="4"/>
  <c r="AC97" i="4"/>
  <c r="AB97" i="4"/>
  <c r="AA97" i="4"/>
  <c r="Z97" i="4"/>
  <c r="Y97" i="4"/>
  <c r="X97" i="4"/>
  <c r="W97" i="4"/>
  <c r="V97" i="4"/>
  <c r="U97" i="4"/>
  <c r="T97" i="4"/>
  <c r="S97" i="4"/>
  <c r="R97" i="4"/>
  <c r="Q97" i="4"/>
  <c r="P97" i="4"/>
  <c r="O97" i="4"/>
  <c r="N97" i="4"/>
  <c r="M97" i="4"/>
  <c r="L97" i="4"/>
  <c r="K97" i="4"/>
  <c r="J97" i="4"/>
  <c r="AG96" i="4"/>
  <c r="AF96" i="4"/>
  <c r="AF95" i="4" s="1"/>
  <c r="AE96" i="4"/>
  <c r="AE95" i="4" s="1"/>
  <c r="AD96" i="4"/>
  <c r="AD95" i="4" s="1"/>
  <c r="AC96" i="4"/>
  <c r="AC95" i="4" s="1"/>
  <c r="AB96" i="4"/>
  <c r="AB95" i="4" s="1"/>
  <c r="AA96" i="4"/>
  <c r="AA95" i="4" s="1"/>
  <c r="Z96" i="4"/>
  <c r="Z95" i="4" s="1"/>
  <c r="Y96" i="4"/>
  <c r="Y95" i="4" s="1"/>
  <c r="X96" i="4"/>
  <c r="X95" i="4" s="1"/>
  <c r="W96" i="4"/>
  <c r="W95" i="4" s="1"/>
  <c r="V96" i="4"/>
  <c r="V95" i="4" s="1"/>
  <c r="U96" i="4"/>
  <c r="U95" i="4" s="1"/>
  <c r="T96" i="4"/>
  <c r="T95" i="4" s="1"/>
  <c r="S96" i="4"/>
  <c r="S95" i="4" s="1"/>
  <c r="R96" i="4"/>
  <c r="R95" i="4" s="1"/>
  <c r="Q96" i="4"/>
  <c r="Q95" i="4" s="1"/>
  <c r="P96" i="4"/>
  <c r="P95" i="4" s="1"/>
  <c r="O96" i="4"/>
  <c r="O95" i="4" s="1"/>
  <c r="N96" i="4"/>
  <c r="N95" i="4" s="1"/>
  <c r="M96" i="4"/>
  <c r="M95" i="4" s="1"/>
  <c r="L96" i="4"/>
  <c r="L95" i="4" s="1"/>
  <c r="K96" i="4"/>
  <c r="J96" i="4"/>
  <c r="AG95" i="4"/>
  <c r="G93" i="4"/>
  <c r="E93" i="4"/>
  <c r="D93" i="4"/>
  <c r="G92" i="4"/>
  <c r="D92" i="4"/>
  <c r="G91" i="4"/>
  <c r="E91" i="4"/>
  <c r="D91" i="4"/>
  <c r="AG90" i="4"/>
  <c r="AF90" i="4"/>
  <c r="AE90" i="4"/>
  <c r="AD90" i="4"/>
  <c r="AC90" i="4"/>
  <c r="AB90" i="4"/>
  <c r="AA90" i="4"/>
  <c r="Z90" i="4"/>
  <c r="Y90" i="4"/>
  <c r="X90" i="4"/>
  <c r="W90" i="4"/>
  <c r="V90" i="4"/>
  <c r="U90" i="4"/>
  <c r="T90" i="4"/>
  <c r="S90" i="4"/>
  <c r="R90" i="4"/>
  <c r="Q90" i="4"/>
  <c r="P90" i="4"/>
  <c r="O90" i="4"/>
  <c r="N90" i="4"/>
  <c r="M90" i="4"/>
  <c r="L90" i="4"/>
  <c r="K90" i="4"/>
  <c r="J90" i="4"/>
  <c r="G89" i="4"/>
  <c r="D89" i="4"/>
  <c r="G88" i="4"/>
  <c r="E88" i="4"/>
  <c r="D88" i="4"/>
  <c r="G87" i="4"/>
  <c r="E87" i="4"/>
  <c r="D87" i="4"/>
  <c r="AG86" i="4"/>
  <c r="AF86" i="4"/>
  <c r="AE86" i="4"/>
  <c r="AD86" i="4"/>
  <c r="AC86" i="4"/>
  <c r="AB86" i="4"/>
  <c r="AA86" i="4"/>
  <c r="Z86" i="4"/>
  <c r="Y86" i="4"/>
  <c r="X86" i="4"/>
  <c r="W86" i="4"/>
  <c r="V86" i="4"/>
  <c r="U86" i="4"/>
  <c r="T86" i="4"/>
  <c r="S86" i="4"/>
  <c r="R86" i="4"/>
  <c r="Q86" i="4"/>
  <c r="P86" i="4"/>
  <c r="O86" i="4"/>
  <c r="N86" i="4"/>
  <c r="M86" i="4"/>
  <c r="L86" i="4"/>
  <c r="K86" i="4"/>
  <c r="J86" i="4"/>
  <c r="AG85" i="4"/>
  <c r="AF85" i="4"/>
  <c r="AE85" i="4"/>
  <c r="AD85" i="4"/>
  <c r="AC85" i="4"/>
  <c r="AB85" i="4"/>
  <c r="AA85" i="4"/>
  <c r="Z85" i="4"/>
  <c r="Y85" i="4"/>
  <c r="X85" i="4"/>
  <c r="W85" i="4"/>
  <c r="V85" i="4"/>
  <c r="U85" i="4"/>
  <c r="T85" i="4"/>
  <c r="S85" i="4"/>
  <c r="R85" i="4"/>
  <c r="Q85" i="4"/>
  <c r="P85" i="4"/>
  <c r="O85" i="4"/>
  <c r="N85" i="4"/>
  <c r="M85" i="4"/>
  <c r="L85" i="4"/>
  <c r="K85" i="4"/>
  <c r="J85" i="4"/>
  <c r="E85" i="4" s="1"/>
  <c r="AG84" i="4"/>
  <c r="AF84" i="4"/>
  <c r="AE84" i="4"/>
  <c r="AD84" i="4"/>
  <c r="AC84" i="4"/>
  <c r="AB84" i="4"/>
  <c r="AA84" i="4"/>
  <c r="Z84" i="4"/>
  <c r="Y84" i="4"/>
  <c r="X84" i="4"/>
  <c r="W84" i="4"/>
  <c r="V84" i="4"/>
  <c r="U84" i="4"/>
  <c r="T84" i="4"/>
  <c r="S84" i="4"/>
  <c r="R84" i="4"/>
  <c r="Q84" i="4"/>
  <c r="P84" i="4"/>
  <c r="O84" i="4"/>
  <c r="N84" i="4"/>
  <c r="M84" i="4"/>
  <c r="L84" i="4"/>
  <c r="K84" i="4"/>
  <c r="J84" i="4"/>
  <c r="E84" i="4" s="1"/>
  <c r="AG83" i="4"/>
  <c r="AF83" i="4"/>
  <c r="AF82" i="4" s="1"/>
  <c r="AE83" i="4"/>
  <c r="AD83" i="4"/>
  <c r="AC83" i="4"/>
  <c r="AB83" i="4"/>
  <c r="AB82" i="4" s="1"/>
  <c r="AA83" i="4"/>
  <c r="Z83" i="4"/>
  <c r="Y83" i="4"/>
  <c r="X83" i="4"/>
  <c r="W83" i="4"/>
  <c r="V83" i="4"/>
  <c r="U83" i="4"/>
  <c r="T83" i="4"/>
  <c r="T82" i="4" s="1"/>
  <c r="S83" i="4"/>
  <c r="R83" i="4"/>
  <c r="Q83" i="4"/>
  <c r="P83" i="4"/>
  <c r="P82" i="4" s="1"/>
  <c r="O83" i="4"/>
  <c r="N83" i="4"/>
  <c r="M83" i="4"/>
  <c r="L83" i="4"/>
  <c r="K83" i="4"/>
  <c r="J83" i="4"/>
  <c r="E83" i="4" s="1"/>
  <c r="G79" i="4"/>
  <c r="E79" i="4"/>
  <c r="D79" i="4"/>
  <c r="G78" i="4"/>
  <c r="E78" i="4"/>
  <c r="D78" i="4"/>
  <c r="AG77" i="4"/>
  <c r="AF77" i="4"/>
  <c r="AE77" i="4"/>
  <c r="AD77" i="4"/>
  <c r="AC77" i="4"/>
  <c r="AB77" i="4"/>
  <c r="AA77" i="4"/>
  <c r="Z77" i="4"/>
  <c r="Y77" i="4"/>
  <c r="X77" i="4"/>
  <c r="W77" i="4"/>
  <c r="V77" i="4"/>
  <c r="U77" i="4"/>
  <c r="T77" i="4"/>
  <c r="S77" i="4"/>
  <c r="R77" i="4"/>
  <c r="Q77" i="4"/>
  <c r="P77" i="4"/>
  <c r="O77" i="4"/>
  <c r="N77" i="4"/>
  <c r="M77" i="4"/>
  <c r="L77" i="4"/>
  <c r="K77" i="4"/>
  <c r="J77" i="4"/>
  <c r="G76" i="4"/>
  <c r="D76" i="4"/>
  <c r="G75" i="4"/>
  <c r="D75" i="4"/>
  <c r="AG74" i="4"/>
  <c r="AF74" i="4"/>
  <c r="AE74" i="4"/>
  <c r="AD74" i="4"/>
  <c r="AC74" i="4"/>
  <c r="AB74" i="4"/>
  <c r="AA74" i="4"/>
  <c r="Z74" i="4"/>
  <c r="Y74" i="4"/>
  <c r="X74" i="4"/>
  <c r="W74" i="4"/>
  <c r="V74" i="4"/>
  <c r="U74" i="4"/>
  <c r="T74" i="4"/>
  <c r="S74" i="4"/>
  <c r="R74" i="4"/>
  <c r="Q74" i="4"/>
  <c r="P74" i="4"/>
  <c r="O74" i="4"/>
  <c r="N74" i="4"/>
  <c r="M74" i="4"/>
  <c r="L74" i="4"/>
  <c r="K74" i="4"/>
  <c r="J74" i="4"/>
  <c r="G73" i="4"/>
  <c r="G72" i="4" s="1"/>
  <c r="E73" i="4"/>
  <c r="E72" i="4" s="1"/>
  <c r="D73" i="4"/>
  <c r="D72" i="4" s="1"/>
  <c r="AG72" i="4"/>
  <c r="AF72" i="4"/>
  <c r="AE72" i="4"/>
  <c r="AD72" i="4"/>
  <c r="AC72" i="4"/>
  <c r="AB72" i="4"/>
  <c r="AA72" i="4"/>
  <c r="Z72" i="4"/>
  <c r="Y72" i="4"/>
  <c r="X72" i="4"/>
  <c r="W72" i="4"/>
  <c r="V72" i="4"/>
  <c r="U72" i="4"/>
  <c r="T72" i="4"/>
  <c r="S72" i="4"/>
  <c r="R72" i="4"/>
  <c r="Q72" i="4"/>
  <c r="P72" i="4"/>
  <c r="O72" i="4"/>
  <c r="N72" i="4"/>
  <c r="M72" i="4"/>
  <c r="L72" i="4"/>
  <c r="K72" i="4"/>
  <c r="J72" i="4"/>
  <c r="G71" i="4"/>
  <c r="E71" i="4"/>
  <c r="E70" i="4" s="1"/>
  <c r="D71" i="4"/>
  <c r="D70" i="4" s="1"/>
  <c r="AG70" i="4"/>
  <c r="AF70" i="4"/>
  <c r="AE70" i="4"/>
  <c r="AD70" i="4"/>
  <c r="AC70" i="4"/>
  <c r="AB70" i="4"/>
  <c r="AA70" i="4"/>
  <c r="Z70" i="4"/>
  <c r="Y70" i="4"/>
  <c r="X70" i="4"/>
  <c r="W70" i="4"/>
  <c r="V70" i="4"/>
  <c r="U70" i="4"/>
  <c r="T70" i="4"/>
  <c r="S70" i="4"/>
  <c r="R70" i="4"/>
  <c r="Q70" i="4"/>
  <c r="P70" i="4"/>
  <c r="O70" i="4"/>
  <c r="N70" i="4"/>
  <c r="M70" i="4"/>
  <c r="L70" i="4"/>
  <c r="K70" i="4"/>
  <c r="J70" i="4"/>
  <c r="AG69" i="4"/>
  <c r="AG67" i="4" s="1"/>
  <c r="AF69" i="4"/>
  <c r="AF67" i="4" s="1"/>
  <c r="AE69" i="4"/>
  <c r="AE67" i="4" s="1"/>
  <c r="AD69" i="4"/>
  <c r="AD67" i="4" s="1"/>
  <c r="AC69" i="4"/>
  <c r="AC67" i="4" s="1"/>
  <c r="AB69" i="4"/>
  <c r="AB67" i="4" s="1"/>
  <c r="AA69" i="4"/>
  <c r="Z69" i="4"/>
  <c r="Z67" i="4" s="1"/>
  <c r="Y69" i="4"/>
  <c r="Y67" i="4" s="1"/>
  <c r="X69" i="4"/>
  <c r="X67" i="4" s="1"/>
  <c r="W69" i="4"/>
  <c r="W67" i="4" s="1"/>
  <c r="V69" i="4"/>
  <c r="V67" i="4" s="1"/>
  <c r="U69" i="4"/>
  <c r="U67" i="4" s="1"/>
  <c r="T69" i="4"/>
  <c r="T67" i="4" s="1"/>
  <c r="S69" i="4"/>
  <c r="S67" i="4" s="1"/>
  <c r="R69" i="4"/>
  <c r="R67" i="4" s="1"/>
  <c r="Q69" i="4"/>
  <c r="Q67" i="4" s="1"/>
  <c r="P69" i="4"/>
  <c r="P67" i="4" s="1"/>
  <c r="O69" i="4"/>
  <c r="O67" i="4" s="1"/>
  <c r="N69" i="4"/>
  <c r="N67" i="4" s="1"/>
  <c r="M69" i="4"/>
  <c r="M67" i="4" s="1"/>
  <c r="L69" i="4"/>
  <c r="L67" i="4" s="1"/>
  <c r="K69" i="4"/>
  <c r="J69" i="4"/>
  <c r="E69" i="4" s="1"/>
  <c r="G68" i="4"/>
  <c r="E68" i="4"/>
  <c r="D68" i="4"/>
  <c r="G64" i="4"/>
  <c r="G63" i="4" s="1"/>
  <c r="E64" i="4"/>
  <c r="E63" i="4" s="1"/>
  <c r="D64" i="4"/>
  <c r="D63" i="4" s="1"/>
  <c r="AG63" i="4"/>
  <c r="AF63" i="4"/>
  <c r="AE63" i="4"/>
  <c r="AD63" i="4"/>
  <c r="AC63" i="4"/>
  <c r="AB63" i="4"/>
  <c r="AA63" i="4"/>
  <c r="Z63" i="4"/>
  <c r="Y63" i="4"/>
  <c r="X63" i="4"/>
  <c r="W63" i="4"/>
  <c r="V63" i="4"/>
  <c r="U63" i="4"/>
  <c r="T63" i="4"/>
  <c r="S63" i="4"/>
  <c r="R63" i="4"/>
  <c r="Q63" i="4"/>
  <c r="P63" i="4"/>
  <c r="O63" i="4"/>
  <c r="N63" i="4"/>
  <c r="M63" i="4"/>
  <c r="L63" i="4"/>
  <c r="K63" i="4"/>
  <c r="J63" i="4"/>
  <c r="G61" i="4"/>
  <c r="E61" i="4"/>
  <c r="D62" i="4"/>
  <c r="D61" i="4" s="1"/>
  <c r="AG61" i="4"/>
  <c r="AF61" i="4"/>
  <c r="AE61" i="4"/>
  <c r="AD61" i="4"/>
  <c r="AB61" i="4"/>
  <c r="AA61" i="4"/>
  <c r="Z61" i="4"/>
  <c r="Y61" i="4"/>
  <c r="X61" i="4"/>
  <c r="W61" i="4"/>
  <c r="V61" i="4"/>
  <c r="U61" i="4"/>
  <c r="T61" i="4"/>
  <c r="S61" i="4"/>
  <c r="R61" i="4"/>
  <c r="Q61" i="4"/>
  <c r="P61" i="4"/>
  <c r="O61" i="4"/>
  <c r="N61" i="4"/>
  <c r="M61" i="4"/>
  <c r="L61" i="4"/>
  <c r="K61" i="4"/>
  <c r="J61" i="4"/>
  <c r="G60" i="4"/>
  <c r="D60" i="4"/>
  <c r="G59" i="4"/>
  <c r="D59" i="4"/>
  <c r="AG58" i="4"/>
  <c r="AF58" i="4"/>
  <c r="AE58" i="4"/>
  <c r="AD58" i="4"/>
  <c r="AC58" i="4"/>
  <c r="AB58" i="4"/>
  <c r="AA58" i="4"/>
  <c r="Z58" i="4"/>
  <c r="Y58" i="4"/>
  <c r="X58" i="4"/>
  <c r="W58" i="4"/>
  <c r="V58" i="4"/>
  <c r="U58" i="4"/>
  <c r="T58" i="4"/>
  <c r="S58" i="4"/>
  <c r="R58" i="4"/>
  <c r="Q58" i="4"/>
  <c r="P58" i="4"/>
  <c r="O58" i="4"/>
  <c r="N58" i="4"/>
  <c r="M58" i="4"/>
  <c r="L58" i="4"/>
  <c r="K58" i="4"/>
  <c r="J58" i="4"/>
  <c r="G57" i="4"/>
  <c r="E56" i="4"/>
  <c r="D57" i="4"/>
  <c r="D56" i="4" s="1"/>
  <c r="AG56" i="4"/>
  <c r="AF56" i="4"/>
  <c r="AE56" i="4"/>
  <c r="AD56" i="4"/>
  <c r="AC56" i="4"/>
  <c r="AB56" i="4"/>
  <c r="AA56" i="4"/>
  <c r="Z56" i="4"/>
  <c r="Y56" i="4"/>
  <c r="X56" i="4"/>
  <c r="W56" i="4"/>
  <c r="V56" i="4"/>
  <c r="U56" i="4"/>
  <c r="T56" i="4"/>
  <c r="S56" i="4"/>
  <c r="R56" i="4"/>
  <c r="Q56" i="4"/>
  <c r="P56" i="4"/>
  <c r="O56" i="4"/>
  <c r="N56" i="4"/>
  <c r="M56" i="4"/>
  <c r="L56" i="4"/>
  <c r="K56" i="4"/>
  <c r="J56" i="4"/>
  <c r="G55" i="4"/>
  <c r="E54" i="4"/>
  <c r="D55" i="4"/>
  <c r="D54" i="4" s="1"/>
  <c r="AG54" i="4"/>
  <c r="AF54" i="4"/>
  <c r="AE54" i="4"/>
  <c r="AD54" i="4"/>
  <c r="AC54" i="4"/>
  <c r="AB54" i="4"/>
  <c r="AA54" i="4"/>
  <c r="Z54" i="4"/>
  <c r="Y54" i="4"/>
  <c r="X54" i="4"/>
  <c r="W54" i="4"/>
  <c r="V54" i="4"/>
  <c r="U54" i="4"/>
  <c r="T54" i="4"/>
  <c r="S54" i="4"/>
  <c r="R54" i="4"/>
  <c r="Q54" i="4"/>
  <c r="P54" i="4"/>
  <c r="O54" i="4"/>
  <c r="N54" i="4"/>
  <c r="M54" i="4"/>
  <c r="L54" i="4"/>
  <c r="K54" i="4"/>
  <c r="J54" i="4"/>
  <c r="G53" i="4"/>
  <c r="E52" i="4"/>
  <c r="D53" i="4"/>
  <c r="D52" i="4" s="1"/>
  <c r="AG52" i="4"/>
  <c r="AF52" i="4"/>
  <c r="AE52" i="4"/>
  <c r="AD52" i="4"/>
  <c r="AC52" i="4"/>
  <c r="AB52" i="4"/>
  <c r="AA52" i="4"/>
  <c r="Z52" i="4"/>
  <c r="Y52" i="4"/>
  <c r="X52" i="4"/>
  <c r="W52" i="4"/>
  <c r="V52" i="4"/>
  <c r="U52" i="4"/>
  <c r="T52" i="4"/>
  <c r="S52" i="4"/>
  <c r="R52" i="4"/>
  <c r="Q52" i="4"/>
  <c r="P52" i="4"/>
  <c r="O52" i="4"/>
  <c r="N52" i="4"/>
  <c r="M52" i="4"/>
  <c r="L52" i="4"/>
  <c r="K52" i="4"/>
  <c r="J52" i="4"/>
  <c r="G51" i="4"/>
  <c r="E50" i="4"/>
  <c r="D51" i="4"/>
  <c r="D50" i="4" s="1"/>
  <c r="AG50" i="4"/>
  <c r="AF50" i="4"/>
  <c r="AE50" i="4"/>
  <c r="AD50" i="4"/>
  <c r="AC50" i="4"/>
  <c r="AB50" i="4"/>
  <c r="AA50" i="4"/>
  <c r="Z50" i="4"/>
  <c r="Y50" i="4"/>
  <c r="X50" i="4"/>
  <c r="W50" i="4"/>
  <c r="V50" i="4"/>
  <c r="U50" i="4"/>
  <c r="T50" i="4"/>
  <c r="S50" i="4"/>
  <c r="R50" i="4"/>
  <c r="Q50" i="4"/>
  <c r="P50" i="4"/>
  <c r="O50" i="4"/>
  <c r="N50" i="4"/>
  <c r="M50" i="4"/>
  <c r="L50" i="4"/>
  <c r="K50" i="4"/>
  <c r="J50" i="4"/>
  <c r="G49" i="4"/>
  <c r="D49" i="4"/>
  <c r="G48" i="4"/>
  <c r="D48" i="4"/>
  <c r="AG47" i="4"/>
  <c r="AF47" i="4"/>
  <c r="AE47" i="4"/>
  <c r="AD47" i="4"/>
  <c r="AC47" i="4"/>
  <c r="AB47" i="4"/>
  <c r="AA47" i="4"/>
  <c r="Z47" i="4"/>
  <c r="Y47" i="4"/>
  <c r="X47" i="4"/>
  <c r="W47" i="4"/>
  <c r="V47" i="4"/>
  <c r="U47" i="4"/>
  <c r="T47" i="4"/>
  <c r="S47" i="4"/>
  <c r="R47" i="4"/>
  <c r="Q47" i="4"/>
  <c r="P47" i="4"/>
  <c r="O47" i="4"/>
  <c r="N47" i="4"/>
  <c r="M47" i="4"/>
  <c r="L47" i="4"/>
  <c r="K47" i="4"/>
  <c r="J47" i="4"/>
  <c r="G46" i="4"/>
  <c r="G45" i="4" s="1"/>
  <c r="E45" i="4"/>
  <c r="D46" i="4"/>
  <c r="D45" i="4" s="1"/>
  <c r="AG45" i="4"/>
  <c r="AF45" i="4"/>
  <c r="AE45" i="4"/>
  <c r="AD45" i="4"/>
  <c r="AC45" i="4"/>
  <c r="AB45" i="4"/>
  <c r="AA45" i="4"/>
  <c r="Z45" i="4"/>
  <c r="Y45" i="4"/>
  <c r="X45" i="4"/>
  <c r="W45" i="4"/>
  <c r="V45" i="4"/>
  <c r="U45" i="4"/>
  <c r="T45" i="4"/>
  <c r="S45" i="4"/>
  <c r="R45" i="4"/>
  <c r="Q45" i="4"/>
  <c r="P45" i="4"/>
  <c r="N45" i="4"/>
  <c r="M45" i="4"/>
  <c r="L45" i="4"/>
  <c r="K45" i="4"/>
  <c r="J45" i="4"/>
  <c r="G44" i="4"/>
  <c r="E43" i="4"/>
  <c r="D44" i="4"/>
  <c r="D43" i="4" s="1"/>
  <c r="AG43" i="4"/>
  <c r="AF43" i="4"/>
  <c r="AE43" i="4"/>
  <c r="AD43" i="4"/>
  <c r="AC43" i="4"/>
  <c r="AB43" i="4"/>
  <c r="AA43" i="4"/>
  <c r="Z43" i="4"/>
  <c r="Y43" i="4"/>
  <c r="X43" i="4"/>
  <c r="W43" i="4"/>
  <c r="V43" i="4"/>
  <c r="U43" i="4"/>
  <c r="T43" i="4"/>
  <c r="S43" i="4"/>
  <c r="R43" i="4"/>
  <c r="Q43" i="4"/>
  <c r="P43" i="4"/>
  <c r="O43" i="4"/>
  <c r="N43" i="4"/>
  <c r="M43" i="4"/>
  <c r="L43" i="4"/>
  <c r="K43" i="4"/>
  <c r="J43" i="4"/>
  <c r="G42" i="4"/>
  <c r="D42" i="4"/>
  <c r="G41" i="4"/>
  <c r="D41" i="4"/>
  <c r="AG40" i="4"/>
  <c r="AF40" i="4"/>
  <c r="AE40" i="4"/>
  <c r="AD40" i="4"/>
  <c r="AC40" i="4"/>
  <c r="AB40" i="4"/>
  <c r="AA40" i="4"/>
  <c r="Z40" i="4"/>
  <c r="Y40" i="4"/>
  <c r="X40" i="4"/>
  <c r="W40" i="4"/>
  <c r="V40" i="4"/>
  <c r="U40" i="4"/>
  <c r="T40" i="4"/>
  <c r="S40" i="4"/>
  <c r="R40" i="4"/>
  <c r="Q40" i="4"/>
  <c r="P40" i="4"/>
  <c r="O40" i="4"/>
  <c r="N40" i="4"/>
  <c r="M40" i="4"/>
  <c r="L40" i="4"/>
  <c r="K40" i="4"/>
  <c r="J40" i="4"/>
  <c r="AG39" i="4"/>
  <c r="AG36" i="4" s="1"/>
  <c r="AF39" i="4"/>
  <c r="AF36" i="4" s="1"/>
  <c r="AF12" i="4" s="1"/>
  <c r="AE39" i="4"/>
  <c r="AE36" i="4" s="1"/>
  <c r="AE12" i="4" s="1"/>
  <c r="AD39" i="4"/>
  <c r="AD36" i="4" s="1"/>
  <c r="AD12" i="4" s="1"/>
  <c r="AC39" i="4"/>
  <c r="AC36" i="4" s="1"/>
  <c r="AC12" i="4" s="1"/>
  <c r="AB39" i="4"/>
  <c r="AB36" i="4" s="1"/>
  <c r="AB12" i="4" s="1"/>
  <c r="AA39" i="4"/>
  <c r="AA36" i="4" s="1"/>
  <c r="Z39" i="4"/>
  <c r="Z36" i="4" s="1"/>
  <c r="Y39" i="4"/>
  <c r="Y36" i="4" s="1"/>
  <c r="Y12" i="4" s="1"/>
  <c r="X39" i="4"/>
  <c r="X36" i="4" s="1"/>
  <c r="W39" i="4"/>
  <c r="W36" i="4" s="1"/>
  <c r="V39" i="4"/>
  <c r="V36" i="4" s="1"/>
  <c r="V12" i="4" s="1"/>
  <c r="U39" i="4"/>
  <c r="U36" i="4" s="1"/>
  <c r="U12" i="4" s="1"/>
  <c r="T39" i="4"/>
  <c r="T36" i="4" s="1"/>
  <c r="T12" i="4" s="1"/>
  <c r="S39" i="4"/>
  <c r="S36" i="4" s="1"/>
  <c r="S12" i="4" s="1"/>
  <c r="R39" i="4"/>
  <c r="R36" i="4" s="1"/>
  <c r="R12" i="4" s="1"/>
  <c r="Q39" i="4"/>
  <c r="Q36" i="4" s="1"/>
  <c r="Q12" i="4" s="1"/>
  <c r="P39" i="4"/>
  <c r="P36" i="4" s="1"/>
  <c r="P12" i="4" s="1"/>
  <c r="O39" i="4"/>
  <c r="O36" i="4" s="1"/>
  <c r="O12" i="4" s="1"/>
  <c r="N39" i="4"/>
  <c r="N36" i="4" s="1"/>
  <c r="M39" i="4"/>
  <c r="M36" i="4" s="1"/>
  <c r="M12" i="4" s="1"/>
  <c r="L39" i="4"/>
  <c r="L36" i="4" s="1"/>
  <c r="K39" i="4"/>
  <c r="J39" i="4"/>
  <c r="E38" i="4"/>
  <c r="G33" i="4"/>
  <c r="D33" i="4"/>
  <c r="G32" i="4"/>
  <c r="D32" i="4"/>
  <c r="G31" i="4"/>
  <c r="D31" i="4"/>
  <c r="AG30" i="4"/>
  <c r="AF30" i="4"/>
  <c r="AE30" i="4"/>
  <c r="AD30" i="4"/>
  <c r="AC30" i="4"/>
  <c r="AB30" i="4"/>
  <c r="AA30" i="4"/>
  <c r="Z30" i="4"/>
  <c r="Y30" i="4"/>
  <c r="X30" i="4"/>
  <c r="W30" i="4"/>
  <c r="V30" i="4"/>
  <c r="U30" i="4"/>
  <c r="T30" i="4"/>
  <c r="S30" i="4"/>
  <c r="R30" i="4"/>
  <c r="Q30" i="4"/>
  <c r="P30" i="4"/>
  <c r="O30" i="4"/>
  <c r="N30" i="4"/>
  <c r="M30" i="4"/>
  <c r="L30" i="4"/>
  <c r="K30" i="4"/>
  <c r="J30" i="4"/>
  <c r="G29" i="4"/>
  <c r="D29" i="4"/>
  <c r="G28" i="4"/>
  <c r="D28" i="4"/>
  <c r="G27" i="4"/>
  <c r="E27" i="4"/>
  <c r="D27" i="4"/>
  <c r="AG26" i="4"/>
  <c r="AF26" i="4"/>
  <c r="AE26" i="4"/>
  <c r="AD26" i="4"/>
  <c r="AC26" i="4"/>
  <c r="AB26" i="4"/>
  <c r="AA26" i="4"/>
  <c r="Z26" i="4"/>
  <c r="Y26" i="4"/>
  <c r="X26" i="4"/>
  <c r="W26" i="4"/>
  <c r="V26" i="4"/>
  <c r="U26" i="4"/>
  <c r="T26" i="4"/>
  <c r="S26" i="4"/>
  <c r="R26" i="4"/>
  <c r="Q26" i="4"/>
  <c r="P26" i="4"/>
  <c r="O26" i="4"/>
  <c r="N26" i="4"/>
  <c r="M26" i="4"/>
  <c r="L26" i="4"/>
  <c r="K26" i="4"/>
  <c r="J26" i="4"/>
  <c r="G25" i="4"/>
  <c r="D25" i="4"/>
  <c r="D24" i="4"/>
  <c r="G23" i="4"/>
  <c r="E23" i="4"/>
  <c r="D23" i="4"/>
  <c r="AG22" i="4"/>
  <c r="AF22" i="4"/>
  <c r="AE22" i="4"/>
  <c r="AD22" i="4"/>
  <c r="AC22" i="4"/>
  <c r="AB22" i="4"/>
  <c r="AA22" i="4"/>
  <c r="Z22" i="4"/>
  <c r="Y22" i="4"/>
  <c r="X22" i="4"/>
  <c r="W22" i="4"/>
  <c r="V22" i="4"/>
  <c r="U22" i="4"/>
  <c r="T22" i="4"/>
  <c r="S22" i="4"/>
  <c r="R22" i="4"/>
  <c r="Q22" i="4"/>
  <c r="P22" i="4"/>
  <c r="O22" i="4"/>
  <c r="N22" i="4"/>
  <c r="M22" i="4"/>
  <c r="L22" i="4"/>
  <c r="K22" i="4"/>
  <c r="J22" i="4"/>
  <c r="G21" i="4"/>
  <c r="D20" i="4"/>
  <c r="G19" i="4"/>
  <c r="D19" i="4"/>
  <c r="AG18" i="4"/>
  <c r="AF18" i="4"/>
  <c r="AE18" i="4"/>
  <c r="AD18" i="4"/>
  <c r="AC18" i="4"/>
  <c r="AB18" i="4"/>
  <c r="AA18" i="4"/>
  <c r="Z18" i="4"/>
  <c r="Y18" i="4"/>
  <c r="X18" i="4"/>
  <c r="W18" i="4"/>
  <c r="V18" i="4"/>
  <c r="U18" i="4"/>
  <c r="T18" i="4"/>
  <c r="S18" i="4"/>
  <c r="R18" i="4"/>
  <c r="Q18" i="4"/>
  <c r="P18" i="4"/>
  <c r="O18" i="4"/>
  <c r="N18" i="4"/>
  <c r="M18" i="4"/>
  <c r="L18" i="4"/>
  <c r="K18" i="4"/>
  <c r="J18" i="4"/>
  <c r="AG17" i="4"/>
  <c r="AF17" i="4"/>
  <c r="AE17" i="4"/>
  <c r="AD17" i="4"/>
  <c r="AC17" i="4"/>
  <c r="AB17" i="4"/>
  <c r="AA17" i="4"/>
  <c r="Z17" i="4"/>
  <c r="Y17" i="4"/>
  <c r="X17" i="4"/>
  <c r="W17" i="4"/>
  <c r="V17" i="4"/>
  <c r="U17" i="4"/>
  <c r="T17" i="4"/>
  <c r="S17" i="4"/>
  <c r="R17" i="4"/>
  <c r="Q17" i="4"/>
  <c r="P17" i="4"/>
  <c r="O17" i="4"/>
  <c r="N17" i="4"/>
  <c r="M17" i="4"/>
  <c r="L17" i="4"/>
  <c r="K17" i="4"/>
  <c r="J17" i="4"/>
  <c r="AG16" i="4"/>
  <c r="AF16" i="4"/>
  <c r="AE16" i="4"/>
  <c r="AD16" i="4"/>
  <c r="AC16" i="4"/>
  <c r="AB16" i="4"/>
  <c r="AA16" i="4"/>
  <c r="Z16" i="4"/>
  <c r="Y16" i="4"/>
  <c r="X16" i="4"/>
  <c r="W16" i="4"/>
  <c r="V16" i="4"/>
  <c r="U16" i="4"/>
  <c r="T16" i="4"/>
  <c r="T10" i="4" s="1"/>
  <c r="S16" i="4"/>
  <c r="R16" i="4"/>
  <c r="Q16" i="4"/>
  <c r="P16" i="4"/>
  <c r="O16" i="4"/>
  <c r="N16" i="4"/>
  <c r="M16" i="4"/>
  <c r="L16" i="4"/>
  <c r="K16" i="4"/>
  <c r="J16" i="4"/>
  <c r="E16" i="4" s="1"/>
  <c r="AG15" i="4"/>
  <c r="AG9" i="4" s="1"/>
  <c r="AF15" i="4"/>
  <c r="AF9" i="4" s="1"/>
  <c r="AE15" i="4"/>
  <c r="AE9" i="4" s="1"/>
  <c r="AD15" i="4"/>
  <c r="AD9" i="4" s="1"/>
  <c r="AC15" i="4"/>
  <c r="AC9" i="4" s="1"/>
  <c r="AB15" i="4"/>
  <c r="AB9" i="4" s="1"/>
  <c r="AA15" i="4"/>
  <c r="AA9" i="4" s="1"/>
  <c r="Z15" i="4"/>
  <c r="Z9" i="4" s="1"/>
  <c r="Y15" i="4"/>
  <c r="Y9" i="4" s="1"/>
  <c r="X15" i="4"/>
  <c r="X9" i="4" s="1"/>
  <c r="W15" i="4"/>
  <c r="W9" i="4" s="1"/>
  <c r="V15" i="4"/>
  <c r="V9" i="4" s="1"/>
  <c r="U15" i="4"/>
  <c r="U9" i="4" s="1"/>
  <c r="T15" i="4"/>
  <c r="T9" i="4" s="1"/>
  <c r="S15" i="4"/>
  <c r="S9" i="4" s="1"/>
  <c r="R15" i="4"/>
  <c r="R9" i="4" s="1"/>
  <c r="Q15" i="4"/>
  <c r="Q9" i="4" s="1"/>
  <c r="P15" i="4"/>
  <c r="P9" i="4" s="1"/>
  <c r="O15" i="4"/>
  <c r="O9" i="4" s="1"/>
  <c r="N15" i="4"/>
  <c r="N9" i="4" s="1"/>
  <c r="M15" i="4"/>
  <c r="M9" i="4" s="1"/>
  <c r="L15" i="4"/>
  <c r="L9" i="4" s="1"/>
  <c r="K15" i="4"/>
  <c r="K9" i="4" s="1"/>
  <c r="J15" i="4"/>
  <c r="H12" i="11" l="1"/>
  <c r="I12" i="11"/>
  <c r="AI12" i="11"/>
  <c r="AI9" i="11"/>
  <c r="E8" i="11"/>
  <c r="AB10" i="4"/>
  <c r="P10" i="4"/>
  <c r="AF10" i="4"/>
  <c r="Q8" i="7"/>
  <c r="U8" i="7"/>
  <c r="AC8" i="7"/>
  <c r="AG8" i="7"/>
  <c r="E8" i="18"/>
  <c r="G8" i="11"/>
  <c r="I17" i="11"/>
  <c r="G11" i="11"/>
  <c r="AI11" i="11" s="1"/>
  <c r="N10" i="4"/>
  <c r="AE82" i="4"/>
  <c r="W10" i="4"/>
  <c r="AE10" i="4"/>
  <c r="P8" i="7"/>
  <c r="T8" i="7"/>
  <c r="AB8" i="7"/>
  <c r="AF8" i="7"/>
  <c r="I13" i="18"/>
  <c r="H13" i="18"/>
  <c r="I12" i="18"/>
  <c r="H12" i="18"/>
  <c r="F12" i="11"/>
  <c r="F11" i="11" s="1"/>
  <c r="I17" i="18"/>
  <c r="H17" i="18"/>
  <c r="D8" i="7"/>
  <c r="H8" i="7" s="1"/>
  <c r="J8" i="7"/>
  <c r="V8" i="7"/>
  <c r="D14" i="7"/>
  <c r="I21" i="11"/>
  <c r="H21" i="11"/>
  <c r="I19" i="11"/>
  <c r="H19" i="11"/>
  <c r="I31" i="18"/>
  <c r="H31" i="18"/>
  <c r="E9" i="15"/>
  <c r="E8" i="15" s="1"/>
  <c r="I11" i="15"/>
  <c r="I24" i="18"/>
  <c r="H24" i="18"/>
  <c r="I15" i="11"/>
  <c r="H15" i="11"/>
  <c r="I26" i="18"/>
  <c r="H26" i="18"/>
  <c r="H29" i="18"/>
  <c r="I29" i="18"/>
  <c r="I30" i="18"/>
  <c r="H30" i="18"/>
  <c r="F30" i="18"/>
  <c r="F29" i="18" s="1"/>
  <c r="F8" i="11"/>
  <c r="I26" i="11"/>
  <c r="H26" i="11"/>
  <c r="F24" i="11"/>
  <c r="K10" i="4"/>
  <c r="D30" i="4"/>
  <c r="D11" i="15"/>
  <c r="X10" i="4"/>
  <c r="L10" i="4"/>
  <c r="Q82" i="4"/>
  <c r="E96" i="4"/>
  <c r="E95" i="4" s="1"/>
  <c r="AF37" i="4"/>
  <c r="I22" i="18"/>
  <c r="H22" i="18"/>
  <c r="H21" i="18"/>
  <c r="I21" i="18"/>
  <c r="F20" i="18"/>
  <c r="G20" i="18"/>
  <c r="P37" i="4"/>
  <c r="AB37" i="4"/>
  <c r="AG37" i="4"/>
  <c r="W37" i="4"/>
  <c r="Y37" i="4"/>
  <c r="R37" i="4"/>
  <c r="H12" i="15"/>
  <c r="I11" i="6"/>
  <c r="H11" i="6"/>
  <c r="S35" i="4"/>
  <c r="S11" i="4" s="1"/>
  <c r="AE35" i="4"/>
  <c r="AE11" i="4" s="1"/>
  <c r="AE8" i="4" s="1"/>
  <c r="V10" i="4"/>
  <c r="D8" i="6"/>
  <c r="F10" i="6"/>
  <c r="F8" i="6" s="1"/>
  <c r="F13" i="6"/>
  <c r="AJ10" i="6"/>
  <c r="G8" i="6"/>
  <c r="I8" i="6" s="1"/>
  <c r="I13" i="6"/>
  <c r="I10" i="7"/>
  <c r="I12" i="7"/>
  <c r="AJ38" i="6"/>
  <c r="I10" i="6"/>
  <c r="AJ13" i="6"/>
  <c r="I12" i="15"/>
  <c r="G9" i="15"/>
  <c r="F12" i="15"/>
  <c r="F9" i="15" s="1"/>
  <c r="U37" i="4"/>
  <c r="E58" i="4"/>
  <c r="H10" i="6"/>
  <c r="Q10" i="4"/>
  <c r="I42" i="4"/>
  <c r="I57" i="4"/>
  <c r="AC10" i="4"/>
  <c r="U35" i="4"/>
  <c r="U11" i="4" s="1"/>
  <c r="AD10" i="4"/>
  <c r="D40" i="4"/>
  <c r="J67" i="4"/>
  <c r="Z37" i="4"/>
  <c r="J10" i="4"/>
  <c r="E10" i="4" s="1"/>
  <c r="R10" i="4"/>
  <c r="Z10" i="4"/>
  <c r="AG35" i="4"/>
  <c r="AG11" i="4" s="1"/>
  <c r="H13" i="6"/>
  <c r="I59" i="4"/>
  <c r="AD37" i="4"/>
  <c r="L35" i="4"/>
  <c r="L34" i="4" s="1"/>
  <c r="X35" i="4"/>
  <c r="X34" i="4" s="1"/>
  <c r="N35" i="4"/>
  <c r="N34" i="4" s="1"/>
  <c r="Z35" i="4"/>
  <c r="Z11" i="4" s="1"/>
  <c r="M10" i="4"/>
  <c r="Y10" i="4"/>
  <c r="D18" i="4"/>
  <c r="H38" i="6"/>
  <c r="AA12" i="4"/>
  <c r="S10" i="4"/>
  <c r="I44" i="4"/>
  <c r="I51" i="4"/>
  <c r="U14" i="4"/>
  <c r="I33" i="4"/>
  <c r="AG14" i="4"/>
  <c r="I23" i="4"/>
  <c r="AA37" i="4"/>
  <c r="AE37" i="4"/>
  <c r="I28" i="4"/>
  <c r="D84" i="4"/>
  <c r="O37" i="4"/>
  <c r="E77" i="4"/>
  <c r="AA14" i="4"/>
  <c r="AA35" i="4"/>
  <c r="AA34" i="4" s="1"/>
  <c r="O14" i="4"/>
  <c r="I31" i="4"/>
  <c r="R14" i="4"/>
  <c r="I55" i="4"/>
  <c r="I79" i="4"/>
  <c r="I100" i="4"/>
  <c r="I93" i="4"/>
  <c r="N14" i="4"/>
  <c r="Z14" i="4"/>
  <c r="I76" i="4"/>
  <c r="D90" i="4"/>
  <c r="E90" i="4"/>
  <c r="G90" i="4"/>
  <c r="G17" i="4"/>
  <c r="F17" i="4" s="1"/>
  <c r="E26" i="4"/>
  <c r="E30" i="4"/>
  <c r="T14" i="4"/>
  <c r="S14" i="4"/>
  <c r="V35" i="4"/>
  <c r="V34" i="4" s="1"/>
  <c r="D58" i="4"/>
  <c r="AD14" i="4"/>
  <c r="AF14" i="4"/>
  <c r="D22" i="4"/>
  <c r="D26" i="4"/>
  <c r="D47" i="4"/>
  <c r="G74" i="4"/>
  <c r="I48" i="4"/>
  <c r="G99" i="4"/>
  <c r="I99" i="4" s="1"/>
  <c r="L37" i="4"/>
  <c r="L14" i="4"/>
  <c r="X14" i="4"/>
  <c r="E22" i="4"/>
  <c r="O35" i="4"/>
  <c r="O11" i="4" s="1"/>
  <c r="I81" i="4"/>
  <c r="I89" i="4"/>
  <c r="G83" i="4"/>
  <c r="I83" i="4" s="1"/>
  <c r="D86" i="4"/>
  <c r="E86" i="4"/>
  <c r="G86" i="4"/>
  <c r="AC82" i="4"/>
  <c r="R82" i="4"/>
  <c r="AD82" i="4"/>
  <c r="S82" i="4"/>
  <c r="U82" i="4"/>
  <c r="AG82" i="4"/>
  <c r="E82" i="4"/>
  <c r="D74" i="4"/>
  <c r="E74" i="4"/>
  <c r="H97" i="4"/>
  <c r="AA10" i="4"/>
  <c r="P14" i="4"/>
  <c r="E18" i="4"/>
  <c r="I24" i="4"/>
  <c r="S37" i="4"/>
  <c r="K37" i="4"/>
  <c r="E67" i="4"/>
  <c r="L82" i="4"/>
  <c r="X82" i="4"/>
  <c r="G69" i="4"/>
  <c r="I69" i="4" s="1"/>
  <c r="I29" i="4"/>
  <c r="D38" i="4"/>
  <c r="Y14" i="4"/>
  <c r="V37" i="4"/>
  <c r="I41" i="4"/>
  <c r="G56" i="4"/>
  <c r="I56" i="4" s="1"/>
  <c r="AA67" i="4"/>
  <c r="Z82" i="4"/>
  <c r="O82" i="4"/>
  <c r="AA82" i="4"/>
  <c r="I87" i="4"/>
  <c r="I91" i="4"/>
  <c r="I98" i="4"/>
  <c r="D39" i="4"/>
  <c r="AG10" i="4"/>
  <c r="G47" i="4"/>
  <c r="I60" i="4"/>
  <c r="N82" i="4"/>
  <c r="O10" i="4"/>
  <c r="I25" i="4"/>
  <c r="D16" i="4"/>
  <c r="AE14" i="4"/>
  <c r="I21" i="4"/>
  <c r="X37" i="4"/>
  <c r="E40" i="4"/>
  <c r="E47" i="4"/>
  <c r="I71" i="4"/>
  <c r="I75" i="4"/>
  <c r="AG12" i="4"/>
  <c r="T37" i="4"/>
  <c r="G84" i="4"/>
  <c r="I84" i="4" s="1"/>
  <c r="U10" i="4"/>
  <c r="J35" i="4"/>
  <c r="J11" i="4" s="1"/>
  <c r="G43" i="4"/>
  <c r="I43" i="4" s="1"/>
  <c r="I53" i="4"/>
  <c r="I88" i="4"/>
  <c r="I92" i="4"/>
  <c r="I72" i="4"/>
  <c r="I27" i="4"/>
  <c r="J37" i="4"/>
  <c r="I49" i="4"/>
  <c r="G58" i="4"/>
  <c r="D77" i="4"/>
  <c r="I19" i="4"/>
  <c r="I32" i="4"/>
  <c r="N37" i="4"/>
  <c r="I73" i="4"/>
  <c r="G77" i="4"/>
  <c r="V82" i="4"/>
  <c r="M82" i="4"/>
  <c r="Y82" i="4"/>
  <c r="W82" i="4"/>
  <c r="G9" i="18"/>
  <c r="K8" i="18"/>
  <c r="D8" i="18"/>
  <c r="G11" i="18"/>
  <c r="F12" i="18"/>
  <c r="F11" i="18" s="1"/>
  <c r="D9" i="11"/>
  <c r="I24" i="11"/>
  <c r="H24" i="11"/>
  <c r="I8" i="11"/>
  <c r="I13" i="11"/>
  <c r="H13" i="11"/>
  <c r="I13" i="15"/>
  <c r="H13" i="15"/>
  <c r="H11" i="15"/>
  <c r="I8" i="7"/>
  <c r="H12" i="7"/>
  <c r="H14" i="7"/>
  <c r="I9" i="7"/>
  <c r="F14" i="7"/>
  <c r="H13" i="7"/>
  <c r="H15" i="7"/>
  <c r="G9" i="4"/>
  <c r="G15" i="4"/>
  <c r="N12" i="4"/>
  <c r="Z12" i="4"/>
  <c r="G85" i="4"/>
  <c r="K82" i="4"/>
  <c r="I61" i="4"/>
  <c r="G96" i="4"/>
  <c r="K95" i="4"/>
  <c r="I97" i="4"/>
  <c r="D15" i="4"/>
  <c r="E15" i="4"/>
  <c r="K14" i="4"/>
  <c r="W14" i="4"/>
  <c r="I63" i="4"/>
  <c r="AB14" i="4"/>
  <c r="G16" i="4"/>
  <c r="W35" i="4"/>
  <c r="W11" i="4" s="1"/>
  <c r="I62" i="4"/>
  <c r="AC14" i="4"/>
  <c r="Q37" i="4"/>
  <c r="Q35" i="4"/>
  <c r="V14" i="4"/>
  <c r="M14" i="4"/>
  <c r="I45" i="4"/>
  <c r="I64" i="4"/>
  <c r="AC37" i="4"/>
  <c r="AC35" i="4"/>
  <c r="AC11" i="4" s="1"/>
  <c r="E17" i="4"/>
  <c r="D17" i="4"/>
  <c r="J14" i="4"/>
  <c r="G39" i="4"/>
  <c r="K36" i="4"/>
  <c r="L12" i="4"/>
  <c r="J9" i="4"/>
  <c r="X12" i="4"/>
  <c r="K67" i="4"/>
  <c r="W12" i="4"/>
  <c r="Q14" i="4"/>
  <c r="I20" i="4"/>
  <c r="K35" i="4"/>
  <c r="G38" i="4"/>
  <c r="I46" i="4"/>
  <c r="I68" i="4"/>
  <c r="F20" i="4"/>
  <c r="F24" i="4"/>
  <c r="F28" i="4"/>
  <c r="F42" i="4"/>
  <c r="F44" i="4"/>
  <c r="F48" i="4"/>
  <c r="F62" i="4"/>
  <c r="F64" i="4"/>
  <c r="F68" i="4"/>
  <c r="F72" i="4"/>
  <c r="F78" i="4"/>
  <c r="F88" i="4"/>
  <c r="F92" i="4"/>
  <c r="G30" i="4"/>
  <c r="M35" i="4"/>
  <c r="Y35" i="4"/>
  <c r="M37" i="4"/>
  <c r="G40" i="4"/>
  <c r="G50" i="4"/>
  <c r="G52" i="4"/>
  <c r="G54" i="4"/>
  <c r="G70" i="4"/>
  <c r="H20" i="4"/>
  <c r="H24" i="4"/>
  <c r="H28" i="4"/>
  <c r="H32" i="4"/>
  <c r="H42" i="4"/>
  <c r="H44" i="4"/>
  <c r="H46" i="4"/>
  <c r="H48" i="4"/>
  <c r="H60" i="4"/>
  <c r="H62" i="4"/>
  <c r="H64" i="4"/>
  <c r="H68" i="4"/>
  <c r="H72" i="4"/>
  <c r="H76" i="4"/>
  <c r="H78" i="4"/>
  <c r="H88" i="4"/>
  <c r="H92" i="4"/>
  <c r="G18" i="4"/>
  <c r="G22" i="4"/>
  <c r="G26" i="4"/>
  <c r="I78" i="4"/>
  <c r="D69" i="4"/>
  <c r="D67" i="4" s="1"/>
  <c r="J82" i="4"/>
  <c r="D83" i="4"/>
  <c r="D85" i="4"/>
  <c r="J95" i="4"/>
  <c r="D96" i="4"/>
  <c r="D95" i="4" s="1"/>
  <c r="AB35" i="4"/>
  <c r="E39" i="4"/>
  <c r="E37" i="4" s="1"/>
  <c r="P35" i="4"/>
  <c r="J36" i="4"/>
  <c r="F19" i="4"/>
  <c r="F21" i="4"/>
  <c r="F23" i="4"/>
  <c r="F25" i="4"/>
  <c r="F27" i="4"/>
  <c r="F29" i="4"/>
  <c r="R35" i="4"/>
  <c r="AD35" i="4"/>
  <c r="F41" i="4"/>
  <c r="F45" i="4"/>
  <c r="F49" i="4"/>
  <c r="F51" i="4"/>
  <c r="F53" i="4"/>
  <c r="F55" i="4"/>
  <c r="F57" i="4"/>
  <c r="F61" i="4"/>
  <c r="F63" i="4"/>
  <c r="F71" i="4"/>
  <c r="F73" i="4"/>
  <c r="F75" i="4"/>
  <c r="F79" i="4"/>
  <c r="F87" i="4"/>
  <c r="F91" i="4"/>
  <c r="F93" i="4"/>
  <c r="F98" i="4"/>
  <c r="F97" i="4" s="1"/>
  <c r="F100" i="4"/>
  <c r="F99" i="4" s="1"/>
  <c r="H19" i="4"/>
  <c r="H21" i="4"/>
  <c r="H23" i="4"/>
  <c r="H25" i="4"/>
  <c r="H27" i="4"/>
  <c r="H29" i="4"/>
  <c r="H31" i="4"/>
  <c r="H33" i="4"/>
  <c r="T35" i="4"/>
  <c r="AF35" i="4"/>
  <c r="H41" i="4"/>
  <c r="H45" i="4"/>
  <c r="H49" i="4"/>
  <c r="H51" i="4"/>
  <c r="H53" i="4"/>
  <c r="H55" i="4"/>
  <c r="H57" i="4"/>
  <c r="H59" i="4"/>
  <c r="H61" i="4"/>
  <c r="H63" i="4"/>
  <c r="H71" i="4"/>
  <c r="H73" i="4"/>
  <c r="H75" i="4"/>
  <c r="H79" i="4"/>
  <c r="H81" i="4"/>
  <c r="H87" i="4"/>
  <c r="H89" i="4"/>
  <c r="H91" i="4"/>
  <c r="H93" i="4"/>
  <c r="H98" i="4"/>
  <c r="H100" i="4"/>
  <c r="K14" i="20"/>
  <c r="K10" i="20" s="1"/>
  <c r="L14" i="20"/>
  <c r="L10" i="20" s="1"/>
  <c r="M14" i="20"/>
  <c r="M10" i="20" s="1"/>
  <c r="N14" i="20"/>
  <c r="N10" i="20" s="1"/>
  <c r="O14" i="20"/>
  <c r="O10" i="20" s="1"/>
  <c r="P14" i="20"/>
  <c r="P10" i="20" s="1"/>
  <c r="Q14" i="20"/>
  <c r="Q10" i="20" s="1"/>
  <c r="R14" i="20"/>
  <c r="R10" i="20" s="1"/>
  <c r="S14" i="20"/>
  <c r="S10" i="20" s="1"/>
  <c r="T14" i="20"/>
  <c r="T10" i="20" s="1"/>
  <c r="U14" i="20"/>
  <c r="U10" i="20" s="1"/>
  <c r="V14" i="20"/>
  <c r="V10" i="20" s="1"/>
  <c r="W14" i="20"/>
  <c r="W10" i="20" s="1"/>
  <c r="X14" i="20"/>
  <c r="X10" i="20" s="1"/>
  <c r="Y14" i="20"/>
  <c r="Y10" i="20" s="1"/>
  <c r="Z14" i="20"/>
  <c r="Z10" i="20" s="1"/>
  <c r="AA14" i="20"/>
  <c r="AA10" i="20" s="1"/>
  <c r="AB14" i="20"/>
  <c r="AB10" i="20" s="1"/>
  <c r="AC14" i="20"/>
  <c r="AD14" i="20"/>
  <c r="AD10" i="20" s="1"/>
  <c r="AE14" i="20"/>
  <c r="AE10" i="20" s="1"/>
  <c r="AF14" i="20"/>
  <c r="AF10" i="20" s="1"/>
  <c r="AG14" i="20"/>
  <c r="AG10" i="20" s="1"/>
  <c r="J14" i="20"/>
  <c r="K13" i="20"/>
  <c r="K9" i="20" s="1"/>
  <c r="L13" i="20"/>
  <c r="L9" i="20" s="1"/>
  <c r="L8" i="20" s="1"/>
  <c r="M13" i="20"/>
  <c r="M9" i="20" s="1"/>
  <c r="M8" i="20" s="1"/>
  <c r="N13" i="20"/>
  <c r="N9" i="20" s="1"/>
  <c r="O13" i="20"/>
  <c r="O9" i="20" s="1"/>
  <c r="P13" i="20"/>
  <c r="P9" i="20" s="1"/>
  <c r="Q13" i="20"/>
  <c r="Q9" i="20" s="1"/>
  <c r="Q8" i="20" s="1"/>
  <c r="R13" i="20"/>
  <c r="R9" i="20" s="1"/>
  <c r="S13" i="20"/>
  <c r="S9" i="20" s="1"/>
  <c r="T13" i="20"/>
  <c r="T9" i="20" s="1"/>
  <c r="U13" i="20"/>
  <c r="U9" i="20" s="1"/>
  <c r="V13" i="20"/>
  <c r="V9" i="20" s="1"/>
  <c r="W13" i="20"/>
  <c r="W9" i="20" s="1"/>
  <c r="X13" i="20"/>
  <c r="X9" i="20" s="1"/>
  <c r="Y13" i="20"/>
  <c r="Z13" i="20"/>
  <c r="Z9" i="20" s="1"/>
  <c r="AA9" i="20"/>
  <c r="AB13" i="20"/>
  <c r="AB9" i="20" s="1"/>
  <c r="AC13" i="20"/>
  <c r="AC9" i="20" s="1"/>
  <c r="AD13" i="20"/>
  <c r="AD9" i="20" s="1"/>
  <c r="AE13" i="20"/>
  <c r="AE9" i="20" s="1"/>
  <c r="AF13" i="20"/>
  <c r="AF9" i="20" s="1"/>
  <c r="AF8" i="20" s="1"/>
  <c r="AG13" i="20"/>
  <c r="AG9" i="20" s="1"/>
  <c r="J13" i="20"/>
  <c r="AD21" i="20"/>
  <c r="AB21" i="20"/>
  <c r="AA21" i="20"/>
  <c r="Z21" i="20"/>
  <c r="Y21" i="20"/>
  <c r="X21" i="20"/>
  <c r="W21" i="20"/>
  <c r="V21" i="20"/>
  <c r="U21" i="20"/>
  <c r="T21" i="20"/>
  <c r="S21" i="20"/>
  <c r="R21" i="20"/>
  <c r="Q21" i="20"/>
  <c r="P21" i="20"/>
  <c r="O21" i="20"/>
  <c r="N21" i="20"/>
  <c r="M21" i="20"/>
  <c r="L21" i="20"/>
  <c r="E21" i="20"/>
  <c r="AG21" i="20"/>
  <c r="AF21" i="20"/>
  <c r="AE21" i="20"/>
  <c r="AC21" i="20"/>
  <c r="D20" i="20"/>
  <c r="G19" i="20"/>
  <c r="E19" i="20"/>
  <c r="E18" i="20" s="1"/>
  <c r="D19" i="20"/>
  <c r="AG18" i="20"/>
  <c r="AF18" i="20"/>
  <c r="AE18" i="20"/>
  <c r="AD18" i="20"/>
  <c r="AC18" i="20"/>
  <c r="AB18" i="20"/>
  <c r="AA18" i="20"/>
  <c r="Z18" i="20"/>
  <c r="Y18" i="20"/>
  <c r="X18" i="20"/>
  <c r="W18" i="20"/>
  <c r="V18" i="20"/>
  <c r="U18" i="20"/>
  <c r="T18" i="20"/>
  <c r="S18" i="20"/>
  <c r="R18" i="20"/>
  <c r="Q18" i="20"/>
  <c r="P18" i="20"/>
  <c r="O18" i="20"/>
  <c r="N18" i="20"/>
  <c r="M18" i="20"/>
  <c r="L18" i="20"/>
  <c r="K18" i="20"/>
  <c r="J18" i="20"/>
  <c r="D17" i="20"/>
  <c r="G16" i="20"/>
  <c r="D16" i="20"/>
  <c r="AG15" i="20"/>
  <c r="AF15" i="20"/>
  <c r="AE15" i="20"/>
  <c r="AD15" i="20"/>
  <c r="AC15" i="20"/>
  <c r="AB15" i="20"/>
  <c r="AA15" i="20"/>
  <c r="Z15" i="20"/>
  <c r="Y15" i="20"/>
  <c r="X15" i="20"/>
  <c r="W15" i="20"/>
  <c r="V15" i="20"/>
  <c r="U15" i="20"/>
  <c r="T15" i="20"/>
  <c r="S15" i="20"/>
  <c r="R15" i="20"/>
  <c r="Q15" i="20"/>
  <c r="P15" i="20"/>
  <c r="O15" i="20"/>
  <c r="N15" i="20"/>
  <c r="M15" i="20"/>
  <c r="L15" i="20"/>
  <c r="K15" i="20"/>
  <c r="J15" i="20"/>
  <c r="H11" i="11" l="1"/>
  <c r="I11" i="11"/>
  <c r="AI8" i="11"/>
  <c r="AB8" i="20"/>
  <c r="U8" i="20"/>
  <c r="AG8" i="20"/>
  <c r="J9" i="20"/>
  <c r="E9" i="20" s="1"/>
  <c r="E13" i="20"/>
  <c r="J10" i="20"/>
  <c r="E10" i="20" s="1"/>
  <c r="E14" i="20"/>
  <c r="AA8" i="20"/>
  <c r="H9" i="15"/>
  <c r="G8" i="15"/>
  <c r="O8" i="20"/>
  <c r="F56" i="4"/>
  <c r="I9" i="18"/>
  <c r="H9" i="18"/>
  <c r="I20" i="18"/>
  <c r="H20" i="18"/>
  <c r="X11" i="4"/>
  <c r="X8" i="4" s="1"/>
  <c r="N11" i="4"/>
  <c r="N8" i="4" s="1"/>
  <c r="AC8" i="4"/>
  <c r="S34" i="4"/>
  <c r="AE34" i="4"/>
  <c r="H99" i="4"/>
  <c r="I77" i="4"/>
  <c r="AD8" i="20"/>
  <c r="T8" i="20"/>
  <c r="N8" i="20"/>
  <c r="U34" i="4"/>
  <c r="AG34" i="4"/>
  <c r="I58" i="4"/>
  <c r="D37" i="4"/>
  <c r="V11" i="4"/>
  <c r="V8" i="4" s="1"/>
  <c r="AA11" i="4"/>
  <c r="AA8" i="4" s="1"/>
  <c r="L11" i="4"/>
  <c r="L8" i="4" s="1"/>
  <c r="S8" i="4"/>
  <c r="AJ8" i="6"/>
  <c r="F8" i="15"/>
  <c r="F11" i="15"/>
  <c r="I9" i="15"/>
  <c r="H47" i="4"/>
  <c r="K8" i="20"/>
  <c r="H8" i="6"/>
  <c r="Z34" i="4"/>
  <c r="D10" i="4"/>
  <c r="X8" i="20"/>
  <c r="H56" i="4"/>
  <c r="H86" i="4"/>
  <c r="H90" i="4"/>
  <c r="AE8" i="20"/>
  <c r="AG8" i="4"/>
  <c r="S8" i="20"/>
  <c r="F43" i="4"/>
  <c r="H43" i="4"/>
  <c r="O8" i="4"/>
  <c r="P8" i="20"/>
  <c r="Y12" i="20"/>
  <c r="I90" i="4"/>
  <c r="F83" i="4"/>
  <c r="H83" i="4"/>
  <c r="I74" i="4"/>
  <c r="H74" i="4"/>
  <c r="D14" i="4"/>
  <c r="E14" i="4"/>
  <c r="F84" i="4"/>
  <c r="H84" i="4"/>
  <c r="I17" i="4"/>
  <c r="F69" i="4"/>
  <c r="F67" i="4" s="1"/>
  <c r="G67" i="4"/>
  <c r="I67" i="4" s="1"/>
  <c r="O34" i="4"/>
  <c r="F77" i="4"/>
  <c r="H77" i="4"/>
  <c r="W34" i="4"/>
  <c r="U8" i="4"/>
  <c r="I86" i="4"/>
  <c r="W8" i="20"/>
  <c r="H17" i="4"/>
  <c r="E35" i="4"/>
  <c r="AC34" i="4"/>
  <c r="H58" i="4"/>
  <c r="G10" i="4"/>
  <c r="D82" i="4"/>
  <c r="I47" i="4"/>
  <c r="F47" i="4"/>
  <c r="F58" i="4"/>
  <c r="Z8" i="4"/>
  <c r="I11" i="18"/>
  <c r="H11" i="18"/>
  <c r="G8" i="18"/>
  <c r="F8" i="18"/>
  <c r="D8" i="11"/>
  <c r="H8" i="11" s="1"/>
  <c r="H9" i="11"/>
  <c r="F8" i="7"/>
  <c r="I38" i="4"/>
  <c r="H38" i="4"/>
  <c r="F38" i="4"/>
  <c r="I50" i="4"/>
  <c r="H50" i="4"/>
  <c r="F50" i="4"/>
  <c r="F18" i="4"/>
  <c r="E9" i="4"/>
  <c r="D9" i="4"/>
  <c r="K34" i="4"/>
  <c r="G36" i="4"/>
  <c r="K12" i="4"/>
  <c r="I40" i="4"/>
  <c r="H40" i="4"/>
  <c r="I16" i="4"/>
  <c r="H16" i="4"/>
  <c r="F16" i="4"/>
  <c r="G14" i="4"/>
  <c r="G35" i="4"/>
  <c r="E11" i="4"/>
  <c r="I85" i="4"/>
  <c r="H85" i="4"/>
  <c r="F85" i="4"/>
  <c r="I30" i="4"/>
  <c r="H30" i="4"/>
  <c r="Q34" i="4"/>
  <c r="Q11" i="4"/>
  <c r="Q8" i="4" s="1"/>
  <c r="F9" i="4"/>
  <c r="F90" i="4"/>
  <c r="F86" i="4"/>
  <c r="W8" i="4"/>
  <c r="Y34" i="4"/>
  <c r="Y11" i="4"/>
  <c r="Y8" i="4" s="1"/>
  <c r="AD34" i="4"/>
  <c r="AD11" i="4"/>
  <c r="AD8" i="4" s="1"/>
  <c r="P11" i="4"/>
  <c r="P8" i="4" s="1"/>
  <c r="P34" i="4"/>
  <c r="I18" i="4"/>
  <c r="H18" i="4"/>
  <c r="F40" i="4"/>
  <c r="K11" i="4"/>
  <c r="I96" i="4"/>
  <c r="H96" i="4"/>
  <c r="F96" i="4"/>
  <c r="F95" i="4" s="1"/>
  <c r="G95" i="4"/>
  <c r="I15" i="4"/>
  <c r="H15" i="4"/>
  <c r="F15" i="4"/>
  <c r="J34" i="4"/>
  <c r="J12" i="4"/>
  <c r="J8" i="4" s="1"/>
  <c r="E36" i="4"/>
  <c r="D36" i="4"/>
  <c r="AF34" i="4"/>
  <c r="AF11" i="4"/>
  <c r="AF8" i="4" s="1"/>
  <c r="I70" i="4"/>
  <c r="H70" i="4"/>
  <c r="F70" i="4"/>
  <c r="F30" i="4"/>
  <c r="M34" i="4"/>
  <c r="M11" i="4"/>
  <c r="M8" i="4" s="1"/>
  <c r="R34" i="4"/>
  <c r="R11" i="4"/>
  <c r="R8" i="4" s="1"/>
  <c r="T34" i="4"/>
  <c r="T11" i="4"/>
  <c r="T8" i="4" s="1"/>
  <c r="AB11" i="4"/>
  <c r="AB8" i="4" s="1"/>
  <c r="AB34" i="4"/>
  <c r="I54" i="4"/>
  <c r="H54" i="4"/>
  <c r="F54" i="4"/>
  <c r="F74" i="4"/>
  <c r="F26" i="4"/>
  <c r="I39" i="4"/>
  <c r="H39" i="4"/>
  <c r="G37" i="4"/>
  <c r="F39" i="4"/>
  <c r="I26" i="4"/>
  <c r="H26" i="4"/>
  <c r="I22" i="4"/>
  <c r="H22" i="4"/>
  <c r="I52" i="4"/>
  <c r="H52" i="4"/>
  <c r="F52" i="4"/>
  <c r="F22" i="4"/>
  <c r="D35" i="4"/>
  <c r="G82" i="4"/>
  <c r="H69" i="4"/>
  <c r="AC12" i="20"/>
  <c r="V8" i="20"/>
  <c r="Z8" i="20"/>
  <c r="R8" i="20"/>
  <c r="AC10" i="20"/>
  <c r="AC8" i="20" s="1"/>
  <c r="Y9" i="20"/>
  <c r="Y8" i="20" s="1"/>
  <c r="D14" i="20"/>
  <c r="I20" i="20"/>
  <c r="AF12" i="20"/>
  <c r="T12" i="20"/>
  <c r="AD12" i="20"/>
  <c r="AE12" i="20"/>
  <c r="R12" i="20"/>
  <c r="D18" i="20"/>
  <c r="S12" i="20"/>
  <c r="E15" i="20"/>
  <c r="G15" i="20"/>
  <c r="N12" i="20"/>
  <c r="Z12" i="20"/>
  <c r="Q12" i="20"/>
  <c r="O12" i="20"/>
  <c r="AA12" i="20"/>
  <c r="U12" i="20"/>
  <c r="I17" i="20"/>
  <c r="G18" i="20"/>
  <c r="F21" i="20"/>
  <c r="AG12" i="20"/>
  <c r="V12" i="20"/>
  <c r="I19" i="20"/>
  <c r="W12" i="20"/>
  <c r="G13" i="20"/>
  <c r="L12" i="20"/>
  <c r="X12" i="20"/>
  <c r="D15" i="20"/>
  <c r="F16" i="20"/>
  <c r="G14" i="20"/>
  <c r="H20" i="20"/>
  <c r="H16" i="20"/>
  <c r="I16" i="20"/>
  <c r="AB12" i="20"/>
  <c r="D13" i="20"/>
  <c r="J21" i="20"/>
  <c r="D22" i="20"/>
  <c r="J12" i="20"/>
  <c r="K12" i="20"/>
  <c r="K21" i="20"/>
  <c r="P12" i="20"/>
  <c r="F17" i="20"/>
  <c r="F19" i="20"/>
  <c r="M12" i="20"/>
  <c r="H17" i="20"/>
  <c r="H19" i="20"/>
  <c r="K24" i="14"/>
  <c r="K10" i="14" s="1"/>
  <c r="L24" i="14"/>
  <c r="L10" i="14" s="1"/>
  <c r="M24" i="14"/>
  <c r="M10" i="14" s="1"/>
  <c r="N24" i="14"/>
  <c r="O10" i="14"/>
  <c r="P24" i="14"/>
  <c r="P10" i="14" s="1"/>
  <c r="Q24" i="14"/>
  <c r="Q10" i="14" s="1"/>
  <c r="R24" i="14"/>
  <c r="S24" i="14"/>
  <c r="S10" i="14" s="1"/>
  <c r="T24" i="14"/>
  <c r="U24" i="14"/>
  <c r="U10" i="14" s="1"/>
  <c r="V24" i="14"/>
  <c r="W24" i="14"/>
  <c r="W10" i="14" s="1"/>
  <c r="X24" i="14"/>
  <c r="Y24" i="14"/>
  <c r="Y10" i="14" s="1"/>
  <c r="Z24" i="14"/>
  <c r="Z10" i="14" s="1"/>
  <c r="AA24" i="14"/>
  <c r="AA10" i="14" s="1"/>
  <c r="AB24" i="14"/>
  <c r="AB10" i="14" s="1"/>
  <c r="AC24" i="14"/>
  <c r="AC10" i="14" s="1"/>
  <c r="AD24" i="14"/>
  <c r="AD10" i="14" s="1"/>
  <c r="AE24" i="14"/>
  <c r="AE10" i="14" s="1"/>
  <c r="AF24" i="14"/>
  <c r="AF10" i="14" s="1"/>
  <c r="AG24" i="14"/>
  <c r="AG10" i="14" s="1"/>
  <c r="J24" i="14"/>
  <c r="K11" i="14"/>
  <c r="L25" i="14"/>
  <c r="L11" i="14" s="1"/>
  <c r="M11" i="14"/>
  <c r="N25" i="14"/>
  <c r="N11" i="14" s="1"/>
  <c r="O25" i="14"/>
  <c r="P25" i="14"/>
  <c r="P11" i="14" s="1"/>
  <c r="Q25" i="14"/>
  <c r="Q11" i="14" s="1"/>
  <c r="R25" i="14"/>
  <c r="R11" i="14" s="1"/>
  <c r="S25" i="14"/>
  <c r="S11" i="14" s="1"/>
  <c r="T25" i="14"/>
  <c r="T11" i="14" s="1"/>
  <c r="U25" i="14"/>
  <c r="U11" i="14" s="1"/>
  <c r="V25" i="14"/>
  <c r="V11" i="14" s="1"/>
  <c r="W25" i="14"/>
  <c r="W11" i="14" s="1"/>
  <c r="X25" i="14"/>
  <c r="X11" i="14" s="1"/>
  <c r="Y25" i="14"/>
  <c r="Y11" i="14" s="1"/>
  <c r="Z25" i="14"/>
  <c r="Z11" i="14" s="1"/>
  <c r="AA25" i="14"/>
  <c r="AA11" i="14" s="1"/>
  <c r="AB25" i="14"/>
  <c r="AB11" i="14" s="1"/>
  <c r="AC25" i="14"/>
  <c r="AC11" i="14" s="1"/>
  <c r="AD25" i="14"/>
  <c r="AD11" i="14" s="1"/>
  <c r="AE25" i="14"/>
  <c r="AE11" i="14" s="1"/>
  <c r="AF25" i="14"/>
  <c r="AF11" i="14" s="1"/>
  <c r="AG25" i="14"/>
  <c r="AG11" i="14" s="1"/>
  <c r="J25" i="14"/>
  <c r="K23" i="14"/>
  <c r="K9" i="14" s="1"/>
  <c r="L23" i="14"/>
  <c r="M23" i="14"/>
  <c r="M9" i="14" s="1"/>
  <c r="N23" i="14"/>
  <c r="N9" i="14" s="1"/>
  <c r="O23" i="14"/>
  <c r="O9" i="14" s="1"/>
  <c r="P23" i="14"/>
  <c r="Q23" i="14"/>
  <c r="Q9" i="14" s="1"/>
  <c r="R23" i="14"/>
  <c r="R9" i="14" s="1"/>
  <c r="S23" i="14"/>
  <c r="S9" i="14" s="1"/>
  <c r="T23" i="14"/>
  <c r="T9" i="14" s="1"/>
  <c r="U23" i="14"/>
  <c r="U9" i="14" s="1"/>
  <c r="V23" i="14"/>
  <c r="V9" i="14" s="1"/>
  <c r="W23" i="14"/>
  <c r="W9" i="14" s="1"/>
  <c r="X23" i="14"/>
  <c r="X9" i="14" s="1"/>
  <c r="Y23" i="14"/>
  <c r="Y9" i="14" s="1"/>
  <c r="Z23" i="14"/>
  <c r="Z9" i="14" s="1"/>
  <c r="AA23" i="14"/>
  <c r="AA9" i="14" s="1"/>
  <c r="AB23" i="14"/>
  <c r="AB9" i="14" s="1"/>
  <c r="AC23" i="14"/>
  <c r="AC9" i="14" s="1"/>
  <c r="AD23" i="14"/>
  <c r="AD9" i="14" s="1"/>
  <c r="AE23" i="14"/>
  <c r="AE9" i="14" s="1"/>
  <c r="AF23" i="14"/>
  <c r="AF9" i="14" s="1"/>
  <c r="AG23" i="14"/>
  <c r="AG9" i="14" s="1"/>
  <c r="J23" i="14"/>
  <c r="G44" i="14"/>
  <c r="G40" i="14"/>
  <c r="F40" i="14" s="1"/>
  <c r="D40" i="14"/>
  <c r="G39" i="14"/>
  <c r="D39" i="14"/>
  <c r="AG38" i="14"/>
  <c r="AF38" i="14"/>
  <c r="AE38" i="14"/>
  <c r="AD38" i="14"/>
  <c r="AC38" i="14"/>
  <c r="AB38" i="14"/>
  <c r="AA38" i="14"/>
  <c r="Z38" i="14"/>
  <c r="Y38" i="14"/>
  <c r="X38" i="14"/>
  <c r="W38" i="14"/>
  <c r="V38" i="14"/>
  <c r="U38" i="14"/>
  <c r="T38" i="14"/>
  <c r="S38" i="14"/>
  <c r="R38" i="14"/>
  <c r="Q38" i="14"/>
  <c r="P38" i="14"/>
  <c r="O38" i="14"/>
  <c r="N38" i="14"/>
  <c r="M38" i="14"/>
  <c r="L38" i="14"/>
  <c r="K38" i="14"/>
  <c r="J38" i="14"/>
  <c r="G37" i="14"/>
  <c r="F37" i="14" s="1"/>
  <c r="D37" i="14"/>
  <c r="G36" i="14"/>
  <c r="E36" i="14"/>
  <c r="D36" i="14"/>
  <c r="AG35" i="14"/>
  <c r="AF35" i="14"/>
  <c r="AE35" i="14"/>
  <c r="AD35" i="14"/>
  <c r="AC35" i="14"/>
  <c r="AB35" i="14"/>
  <c r="AA35" i="14"/>
  <c r="Z35" i="14"/>
  <c r="Y35" i="14"/>
  <c r="X35" i="14"/>
  <c r="W35" i="14"/>
  <c r="V35" i="14"/>
  <c r="U35" i="14"/>
  <c r="T35" i="14"/>
  <c r="S35" i="14"/>
  <c r="R35" i="14"/>
  <c r="Q35" i="14"/>
  <c r="P35" i="14"/>
  <c r="O35" i="14"/>
  <c r="N35" i="14"/>
  <c r="M35" i="14"/>
  <c r="L35" i="14"/>
  <c r="K35" i="14"/>
  <c r="J35" i="14"/>
  <c r="D28" i="14"/>
  <c r="J8" i="20" l="1"/>
  <c r="E23" i="14"/>
  <c r="E25" i="14"/>
  <c r="X10" i="14"/>
  <c r="E24" i="14"/>
  <c r="V10" i="14"/>
  <c r="T10" i="14"/>
  <c r="R10" i="14"/>
  <c r="J9" i="14"/>
  <c r="J11" i="14"/>
  <c r="E11" i="14" s="1"/>
  <c r="J10" i="14"/>
  <c r="N10" i="14"/>
  <c r="P22" i="14"/>
  <c r="P9" i="14"/>
  <c r="L22" i="14"/>
  <c r="L9" i="14"/>
  <c r="G10" i="20"/>
  <c r="K22" i="14"/>
  <c r="F37" i="4"/>
  <c r="I8" i="18"/>
  <c r="H8" i="18"/>
  <c r="D11" i="4"/>
  <c r="D21" i="20"/>
  <c r="H22" i="20"/>
  <c r="I8" i="15"/>
  <c r="H8" i="15"/>
  <c r="F82" i="4"/>
  <c r="E34" i="4"/>
  <c r="E8" i="20"/>
  <c r="R22" i="14"/>
  <c r="Q22" i="14"/>
  <c r="AA22" i="14"/>
  <c r="Y22" i="14"/>
  <c r="H67" i="4"/>
  <c r="I15" i="20"/>
  <c r="W22" i="14"/>
  <c r="X22" i="14"/>
  <c r="AE22" i="14"/>
  <c r="S22" i="14"/>
  <c r="O22" i="14"/>
  <c r="G25" i="14"/>
  <c r="F25" i="14" s="1"/>
  <c r="AD22" i="14"/>
  <c r="N22" i="14"/>
  <c r="AC22" i="14"/>
  <c r="M22" i="14"/>
  <c r="AB22" i="14"/>
  <c r="I10" i="4"/>
  <c r="H10" i="4"/>
  <c r="F10" i="4"/>
  <c r="G11" i="4"/>
  <c r="I11" i="4" s="1"/>
  <c r="I36" i="4"/>
  <c r="H36" i="4"/>
  <c r="G34" i="4"/>
  <c r="F36" i="4"/>
  <c r="D34" i="4"/>
  <c r="I35" i="4"/>
  <c r="H35" i="4"/>
  <c r="F35" i="4"/>
  <c r="E12" i="4"/>
  <c r="E8" i="4" s="1"/>
  <c r="D12" i="4"/>
  <c r="H9" i="4"/>
  <c r="I14" i="4"/>
  <c r="H14" i="4"/>
  <c r="I82" i="4"/>
  <c r="H82" i="4"/>
  <c r="I9" i="4"/>
  <c r="F14" i="4"/>
  <c r="I37" i="4"/>
  <c r="H37" i="4"/>
  <c r="I95" i="4"/>
  <c r="H95" i="4"/>
  <c r="G12" i="4"/>
  <c r="K8" i="4"/>
  <c r="D25" i="14"/>
  <c r="O11" i="14"/>
  <c r="Z22" i="14"/>
  <c r="J22" i="14"/>
  <c r="G38" i="14"/>
  <c r="V22" i="14"/>
  <c r="AG22" i="14"/>
  <c r="U22" i="14"/>
  <c r="AF22" i="14"/>
  <c r="T22" i="14"/>
  <c r="I13" i="20"/>
  <c r="I18" i="20"/>
  <c r="E12" i="20"/>
  <c r="H18" i="20"/>
  <c r="H15" i="20"/>
  <c r="D9" i="20"/>
  <c r="H13" i="20"/>
  <c r="F13" i="20"/>
  <c r="D10" i="20"/>
  <c r="G21" i="20"/>
  <c r="I22" i="20"/>
  <c r="D12" i="20"/>
  <c r="G9" i="20"/>
  <c r="F15" i="20"/>
  <c r="G12" i="20"/>
  <c r="I14" i="20"/>
  <c r="H14" i="20"/>
  <c r="F14" i="20"/>
  <c r="F18" i="20"/>
  <c r="G35" i="14"/>
  <c r="D35" i="14"/>
  <c r="E38" i="14"/>
  <c r="I37" i="14"/>
  <c r="D38" i="14"/>
  <c r="E35" i="14"/>
  <c r="I40" i="14"/>
  <c r="I39" i="14"/>
  <c r="F39" i="14"/>
  <c r="F38" i="14" s="1"/>
  <c r="H39" i="14"/>
  <c r="H40" i="14"/>
  <c r="F36" i="14"/>
  <c r="F35" i="14" s="1"/>
  <c r="I36" i="14"/>
  <c r="H36" i="14"/>
  <c r="H37" i="14"/>
  <c r="G21" i="14"/>
  <c r="D21" i="14"/>
  <c r="G20" i="14"/>
  <c r="D20" i="14"/>
  <c r="G19" i="14"/>
  <c r="E19" i="14"/>
  <c r="D19" i="14"/>
  <c r="AG18" i="14"/>
  <c r="AF18" i="14"/>
  <c r="AE18" i="14"/>
  <c r="AD18" i="14"/>
  <c r="AC18" i="14"/>
  <c r="AB18" i="14"/>
  <c r="AA18" i="14"/>
  <c r="Z18" i="14"/>
  <c r="Y18" i="14"/>
  <c r="X18" i="14"/>
  <c r="W18" i="14"/>
  <c r="V18" i="14"/>
  <c r="U18" i="14"/>
  <c r="T18" i="14"/>
  <c r="S18" i="14"/>
  <c r="R18" i="14"/>
  <c r="Q18" i="14"/>
  <c r="P18" i="14"/>
  <c r="O18" i="14"/>
  <c r="N18" i="14"/>
  <c r="M18" i="14"/>
  <c r="L18" i="14"/>
  <c r="K18" i="14"/>
  <c r="J18" i="14"/>
  <c r="AE42" i="14"/>
  <c r="AC42" i="14"/>
  <c r="AB42" i="14"/>
  <c r="Z42" i="14"/>
  <c r="X42" i="14"/>
  <c r="U42" i="14"/>
  <c r="S42" i="14"/>
  <c r="R42" i="14"/>
  <c r="Q42" i="14"/>
  <c r="P42" i="14"/>
  <c r="O42" i="14"/>
  <c r="N42" i="14"/>
  <c r="M42" i="14"/>
  <c r="L42" i="14"/>
  <c r="E43" i="14"/>
  <c r="G43" i="14"/>
  <c r="AG42" i="14"/>
  <c r="AF42" i="14"/>
  <c r="AD42" i="14"/>
  <c r="Y42" i="14"/>
  <c r="W42" i="14"/>
  <c r="V42" i="14"/>
  <c r="T42" i="14"/>
  <c r="K42" i="14"/>
  <c r="G34" i="14"/>
  <c r="D34" i="14"/>
  <c r="G33" i="14"/>
  <c r="E33" i="14"/>
  <c r="D33" i="14"/>
  <c r="AG32" i="14"/>
  <c r="AF32" i="14"/>
  <c r="AE32" i="14"/>
  <c r="AD32" i="14"/>
  <c r="AC32" i="14"/>
  <c r="AB32" i="14"/>
  <c r="AA32" i="14"/>
  <c r="Z32" i="14"/>
  <c r="Y32" i="14"/>
  <c r="X32" i="14"/>
  <c r="W32" i="14"/>
  <c r="V32" i="14"/>
  <c r="U32" i="14"/>
  <c r="T32" i="14"/>
  <c r="S32" i="14"/>
  <c r="R32" i="14"/>
  <c r="Q32" i="14"/>
  <c r="P32" i="14"/>
  <c r="O32" i="14"/>
  <c r="N32" i="14"/>
  <c r="M32" i="14"/>
  <c r="L32" i="14"/>
  <c r="K32" i="14"/>
  <c r="J32" i="14"/>
  <c r="G31" i="14"/>
  <c r="D31" i="14"/>
  <c r="G30" i="14"/>
  <c r="E30" i="14"/>
  <c r="D30" i="14"/>
  <c r="AG29" i="14"/>
  <c r="AF29" i="14"/>
  <c r="AE29" i="14"/>
  <c r="AD29" i="14"/>
  <c r="AC29" i="14"/>
  <c r="AB29" i="14"/>
  <c r="AA29" i="14"/>
  <c r="Z29" i="14"/>
  <c r="Y29" i="14"/>
  <c r="X29" i="14"/>
  <c r="W29" i="14"/>
  <c r="V29" i="14"/>
  <c r="U29" i="14"/>
  <c r="T29" i="14"/>
  <c r="S29" i="14"/>
  <c r="R29" i="14"/>
  <c r="Q29" i="14"/>
  <c r="P29" i="14"/>
  <c r="O29" i="14"/>
  <c r="N29" i="14"/>
  <c r="M29" i="14"/>
  <c r="L29" i="14"/>
  <c r="K29" i="14"/>
  <c r="J29" i="14"/>
  <c r="G28" i="14"/>
  <c r="G27" i="14"/>
  <c r="F27" i="14" s="1"/>
  <c r="D27" i="14"/>
  <c r="D26" i="14" s="1"/>
  <c r="AG26" i="14"/>
  <c r="AF26" i="14"/>
  <c r="AE26" i="14"/>
  <c r="AD26" i="14"/>
  <c r="AC26" i="14"/>
  <c r="AB26" i="14"/>
  <c r="AA26" i="14"/>
  <c r="Z26" i="14"/>
  <c r="Y26" i="14"/>
  <c r="X26" i="14"/>
  <c r="W26" i="14"/>
  <c r="V26" i="14"/>
  <c r="U26" i="14"/>
  <c r="T26" i="14"/>
  <c r="S26" i="14"/>
  <c r="R26" i="14"/>
  <c r="Q26" i="14"/>
  <c r="P26" i="14"/>
  <c r="O26" i="14"/>
  <c r="N26" i="14"/>
  <c r="M26" i="14"/>
  <c r="L26" i="14"/>
  <c r="K26" i="14"/>
  <c r="J26" i="14"/>
  <c r="G16" i="14"/>
  <c r="F16" i="14" s="1"/>
  <c r="D16" i="14"/>
  <c r="G15" i="14"/>
  <c r="F15" i="14" s="1"/>
  <c r="E15" i="14"/>
  <c r="D15" i="14"/>
  <c r="G14" i="14"/>
  <c r="E14" i="14"/>
  <c r="D14" i="14"/>
  <c r="AG13" i="14"/>
  <c r="AF13" i="14"/>
  <c r="AE13" i="14"/>
  <c r="AD13" i="14"/>
  <c r="AC13" i="14"/>
  <c r="AB13" i="14"/>
  <c r="AA13" i="14"/>
  <c r="Z13" i="14"/>
  <c r="Y13" i="14"/>
  <c r="X13" i="14"/>
  <c r="W13" i="14"/>
  <c r="V13" i="14"/>
  <c r="U13" i="14"/>
  <c r="T13" i="14"/>
  <c r="S13" i="14"/>
  <c r="R13" i="14"/>
  <c r="Q13" i="14"/>
  <c r="P13" i="14"/>
  <c r="O13" i="14"/>
  <c r="N13" i="14"/>
  <c r="M13" i="14"/>
  <c r="L13" i="14"/>
  <c r="K13" i="14"/>
  <c r="J13" i="14"/>
  <c r="K11" i="9"/>
  <c r="L11" i="9"/>
  <c r="M11" i="9"/>
  <c r="N11" i="9"/>
  <c r="O11" i="9"/>
  <c r="P11" i="9"/>
  <c r="Q11" i="9"/>
  <c r="R11" i="9"/>
  <c r="S11" i="9"/>
  <c r="W11" i="9"/>
  <c r="AA11" i="9"/>
  <c r="AC11" i="9"/>
  <c r="AE11" i="9"/>
  <c r="AG11" i="9"/>
  <c r="K10" i="9"/>
  <c r="L10" i="9"/>
  <c r="M10" i="9"/>
  <c r="N10" i="9"/>
  <c r="O10" i="9"/>
  <c r="P10" i="9"/>
  <c r="Q10" i="9"/>
  <c r="R10" i="9"/>
  <c r="S10" i="9"/>
  <c r="T10" i="9"/>
  <c r="U10" i="9"/>
  <c r="W10" i="9"/>
  <c r="AA10" i="9"/>
  <c r="AC10" i="9"/>
  <c r="AE10" i="9"/>
  <c r="AG10" i="9"/>
  <c r="K9" i="9"/>
  <c r="L9" i="9"/>
  <c r="M9" i="9"/>
  <c r="N9" i="9"/>
  <c r="O9" i="9"/>
  <c r="P9" i="9"/>
  <c r="Q9" i="9"/>
  <c r="R9" i="9"/>
  <c r="S9" i="9"/>
  <c r="T9" i="9"/>
  <c r="U9" i="9"/>
  <c r="V9" i="9"/>
  <c r="W9" i="9"/>
  <c r="X9" i="9"/>
  <c r="Y9" i="9"/>
  <c r="Z9" i="9"/>
  <c r="AA9" i="9"/>
  <c r="AB9" i="9"/>
  <c r="AC9" i="9"/>
  <c r="AD9" i="9"/>
  <c r="AE9" i="9"/>
  <c r="AF9" i="9"/>
  <c r="AG9" i="9"/>
  <c r="G30" i="9"/>
  <c r="E30" i="9"/>
  <c r="D30" i="9"/>
  <c r="G29" i="9"/>
  <c r="F29" i="9" s="1"/>
  <c r="E29" i="9"/>
  <c r="D29" i="9"/>
  <c r="G28" i="9"/>
  <c r="E28" i="9"/>
  <c r="D28" i="9"/>
  <c r="AG27" i="9"/>
  <c r="AF27" i="9"/>
  <c r="AE27" i="9"/>
  <c r="AD27" i="9"/>
  <c r="AC27" i="9"/>
  <c r="AB27" i="9"/>
  <c r="AA27" i="9"/>
  <c r="Z27" i="9"/>
  <c r="Y27" i="9"/>
  <c r="X27" i="9"/>
  <c r="W27" i="9"/>
  <c r="V27" i="9"/>
  <c r="U27" i="9"/>
  <c r="T27" i="9"/>
  <c r="S27" i="9"/>
  <c r="R27" i="9"/>
  <c r="Q27" i="9"/>
  <c r="P27" i="9"/>
  <c r="O27" i="9"/>
  <c r="N27" i="9"/>
  <c r="M27" i="9"/>
  <c r="L27" i="9"/>
  <c r="K27" i="9"/>
  <c r="J27" i="9"/>
  <c r="E25" i="9"/>
  <c r="E24" i="9" s="1"/>
  <c r="AE24" i="9"/>
  <c r="AD24" i="9"/>
  <c r="AC24" i="9"/>
  <c r="AB24" i="9"/>
  <c r="AA24" i="9"/>
  <c r="Z24" i="9"/>
  <c r="Y24" i="9"/>
  <c r="X24" i="9"/>
  <c r="W24" i="9"/>
  <c r="V24" i="9"/>
  <c r="U24" i="9"/>
  <c r="T24" i="9"/>
  <c r="S24" i="9"/>
  <c r="R24" i="9"/>
  <c r="Q24" i="9"/>
  <c r="P24" i="9"/>
  <c r="O24" i="9"/>
  <c r="N24" i="9"/>
  <c r="M24" i="9"/>
  <c r="L24" i="9"/>
  <c r="K24" i="9"/>
  <c r="J24" i="9"/>
  <c r="AA21" i="9"/>
  <c r="Z21" i="9"/>
  <c r="W21" i="9"/>
  <c r="V21" i="9"/>
  <c r="O21" i="9"/>
  <c r="N21" i="9"/>
  <c r="AF21" i="9"/>
  <c r="AE21" i="9"/>
  <c r="AD21" i="9"/>
  <c r="AC21" i="9"/>
  <c r="AB21" i="9"/>
  <c r="Y21" i="9"/>
  <c r="X21" i="9"/>
  <c r="U21" i="9"/>
  <c r="T21" i="9"/>
  <c r="S21" i="9"/>
  <c r="R21" i="9"/>
  <c r="Q21" i="9"/>
  <c r="P21" i="9"/>
  <c r="M21" i="9"/>
  <c r="L21" i="9"/>
  <c r="G20" i="9"/>
  <c r="E20" i="9"/>
  <c r="D20" i="9"/>
  <c r="G19" i="9"/>
  <c r="F19" i="9" s="1"/>
  <c r="E19" i="9"/>
  <c r="D19" i="9"/>
  <c r="G18" i="9"/>
  <c r="E18" i="9"/>
  <c r="D18" i="9"/>
  <c r="AG17" i="9"/>
  <c r="AF17" i="9"/>
  <c r="AE17" i="9"/>
  <c r="AD17" i="9"/>
  <c r="AC17" i="9"/>
  <c r="AB17" i="9"/>
  <c r="AA17" i="9"/>
  <c r="Z17" i="9"/>
  <c r="Y17" i="9"/>
  <c r="X17" i="9"/>
  <c r="W17" i="9"/>
  <c r="V17" i="9"/>
  <c r="U17" i="9"/>
  <c r="T17" i="9"/>
  <c r="S17" i="9"/>
  <c r="R17" i="9"/>
  <c r="Q17" i="9"/>
  <c r="P17" i="9"/>
  <c r="O17" i="9"/>
  <c r="N17" i="9"/>
  <c r="M17" i="9"/>
  <c r="L17" i="9"/>
  <c r="K17" i="9"/>
  <c r="J17" i="9"/>
  <c r="H15" i="9"/>
  <c r="G14" i="9"/>
  <c r="E14" i="9"/>
  <c r="D14" i="9"/>
  <c r="AG13" i="9"/>
  <c r="AF13" i="9"/>
  <c r="AE13" i="9"/>
  <c r="AD13" i="9"/>
  <c r="AC13" i="9"/>
  <c r="AB13" i="9"/>
  <c r="AA13" i="9"/>
  <c r="Z13" i="9"/>
  <c r="Y13" i="9"/>
  <c r="W13" i="9"/>
  <c r="V13" i="9"/>
  <c r="U13" i="9"/>
  <c r="T13" i="9"/>
  <c r="S13" i="9"/>
  <c r="R13" i="9"/>
  <c r="Q13" i="9"/>
  <c r="O13" i="9"/>
  <c r="N13" i="9"/>
  <c r="M13" i="9"/>
  <c r="L13" i="9"/>
  <c r="K13" i="9"/>
  <c r="J13" i="9"/>
  <c r="G58" i="8"/>
  <c r="G57" i="8" s="1"/>
  <c r="E57" i="8"/>
  <c r="D57" i="8"/>
  <c r="AG57" i="8"/>
  <c r="AF57" i="8"/>
  <c r="AE57" i="8"/>
  <c r="AD57" i="8"/>
  <c r="AC57" i="8"/>
  <c r="AB57" i="8"/>
  <c r="AA57" i="8"/>
  <c r="Z57" i="8"/>
  <c r="Y57" i="8"/>
  <c r="X57" i="8"/>
  <c r="W57" i="8"/>
  <c r="V57" i="8"/>
  <c r="U57" i="8"/>
  <c r="T57" i="8"/>
  <c r="S57" i="8"/>
  <c r="R57" i="8"/>
  <c r="Q57" i="8"/>
  <c r="P57" i="8"/>
  <c r="O57" i="8"/>
  <c r="N57" i="8"/>
  <c r="M57" i="8"/>
  <c r="L57" i="8"/>
  <c r="K57" i="8"/>
  <c r="J57" i="8"/>
  <c r="AG56" i="8"/>
  <c r="AF56" i="8"/>
  <c r="AE56" i="8"/>
  <c r="AD56" i="8"/>
  <c r="AD55" i="8" s="1"/>
  <c r="AC56" i="8"/>
  <c r="AC55" i="8" s="1"/>
  <c r="AB56" i="8"/>
  <c r="AB55" i="8" s="1"/>
  <c r="AA56" i="8"/>
  <c r="Z56" i="8"/>
  <c r="Z55" i="8" s="1"/>
  <c r="Y56" i="8"/>
  <c r="X56" i="8"/>
  <c r="X55" i="8" s="1"/>
  <c r="W56" i="8"/>
  <c r="W55" i="8" s="1"/>
  <c r="V56" i="8"/>
  <c r="U56" i="8"/>
  <c r="U55" i="8" s="1"/>
  <c r="T56" i="8"/>
  <c r="T55" i="8" s="1"/>
  <c r="S56" i="8"/>
  <c r="S55" i="8" s="1"/>
  <c r="R56" i="8"/>
  <c r="R55" i="8" s="1"/>
  <c r="Q56" i="8"/>
  <c r="Q55" i="8" s="1"/>
  <c r="P56" i="8"/>
  <c r="O56" i="8"/>
  <c r="O55" i="8" s="1"/>
  <c r="N56" i="8"/>
  <c r="M56" i="8"/>
  <c r="M55" i="8" s="1"/>
  <c r="L56" i="8"/>
  <c r="L55" i="8" s="1"/>
  <c r="K56" i="8"/>
  <c r="J56" i="8"/>
  <c r="AG55" i="8"/>
  <c r="AF55" i="8"/>
  <c r="AE55" i="8"/>
  <c r="K50" i="8"/>
  <c r="L50" i="8"/>
  <c r="M50" i="8"/>
  <c r="M49" i="8" s="1"/>
  <c r="N50" i="8"/>
  <c r="O50" i="8"/>
  <c r="P50" i="8"/>
  <c r="P49" i="8" s="1"/>
  <c r="Q50" i="8"/>
  <c r="Q49" i="8" s="1"/>
  <c r="R50" i="8"/>
  <c r="R49" i="8" s="1"/>
  <c r="S50" i="8"/>
  <c r="T50" i="8"/>
  <c r="U50" i="8"/>
  <c r="V50" i="8"/>
  <c r="V49" i="8" s="1"/>
  <c r="W50" i="8"/>
  <c r="W11" i="8" s="1"/>
  <c r="X50" i="8"/>
  <c r="Y50" i="8"/>
  <c r="Y49" i="8" s="1"/>
  <c r="Z50" i="8"/>
  <c r="AA50" i="8"/>
  <c r="AB50" i="8"/>
  <c r="AB49" i="8" s="1"/>
  <c r="AC50" i="8"/>
  <c r="AC49" i="8" s="1"/>
  <c r="AD50" i="8"/>
  <c r="AE50" i="8"/>
  <c r="AF50" i="8"/>
  <c r="AG50" i="8"/>
  <c r="AG49" i="8" s="1"/>
  <c r="G54" i="8"/>
  <c r="G53" i="8" s="1"/>
  <c r="E53" i="8"/>
  <c r="D54" i="8"/>
  <c r="D53" i="8" s="1"/>
  <c r="AG53" i="8"/>
  <c r="AF53" i="8"/>
  <c r="AE53" i="8"/>
  <c r="AD53" i="8"/>
  <c r="AC53" i="8"/>
  <c r="AB53" i="8"/>
  <c r="AA53" i="8"/>
  <c r="Z53" i="8"/>
  <c r="Y53" i="8"/>
  <c r="X53" i="8"/>
  <c r="W53" i="8"/>
  <c r="V53" i="8"/>
  <c r="U53" i="8"/>
  <c r="T53" i="8"/>
  <c r="S53" i="8"/>
  <c r="R53" i="8"/>
  <c r="Q53" i="8"/>
  <c r="P53" i="8"/>
  <c r="O53" i="8"/>
  <c r="N53" i="8"/>
  <c r="M53" i="8"/>
  <c r="L53" i="8"/>
  <c r="K53" i="8"/>
  <c r="J53" i="8"/>
  <c r="G52" i="8"/>
  <c r="G51" i="8" s="1"/>
  <c r="E51" i="8"/>
  <c r="D52" i="8"/>
  <c r="AG51" i="8"/>
  <c r="AF51" i="8"/>
  <c r="AE51" i="8"/>
  <c r="AD51" i="8"/>
  <c r="AC51" i="8"/>
  <c r="AB51" i="8"/>
  <c r="AA51" i="8"/>
  <c r="Z51" i="8"/>
  <c r="Y51" i="8"/>
  <c r="X51" i="8"/>
  <c r="W51" i="8"/>
  <c r="V51" i="8"/>
  <c r="U51" i="8"/>
  <c r="T51" i="8"/>
  <c r="S51" i="8"/>
  <c r="R51" i="8"/>
  <c r="Q51" i="8"/>
  <c r="P51" i="8"/>
  <c r="O51" i="8"/>
  <c r="N51" i="8"/>
  <c r="M51" i="8"/>
  <c r="L51" i="8"/>
  <c r="K51" i="8"/>
  <c r="J51" i="8"/>
  <c r="G36" i="8"/>
  <c r="F36" i="8" s="1"/>
  <c r="U10" i="8"/>
  <c r="J36" i="8"/>
  <c r="K9" i="8"/>
  <c r="L9" i="8"/>
  <c r="N9" i="8"/>
  <c r="P9" i="8"/>
  <c r="Q9" i="8"/>
  <c r="R9" i="8"/>
  <c r="S9" i="8"/>
  <c r="T9" i="8"/>
  <c r="U9" i="8"/>
  <c r="V9" i="8"/>
  <c r="W9" i="8"/>
  <c r="Z9" i="8"/>
  <c r="AA9" i="8"/>
  <c r="AB9" i="8"/>
  <c r="AC9" i="8"/>
  <c r="AD9" i="8"/>
  <c r="AE9" i="8"/>
  <c r="AF9" i="8"/>
  <c r="AG9" i="8"/>
  <c r="G47" i="8"/>
  <c r="D47" i="8"/>
  <c r="G46" i="8"/>
  <c r="F46" i="8" s="1"/>
  <c r="D46" i="8"/>
  <c r="AG45" i="8"/>
  <c r="AF45" i="8"/>
  <c r="AE45" i="8"/>
  <c r="AD45" i="8"/>
  <c r="AC45" i="8"/>
  <c r="AB45" i="8"/>
  <c r="AA45" i="8"/>
  <c r="Z45" i="8"/>
  <c r="Y45" i="8"/>
  <c r="X45" i="8"/>
  <c r="W45" i="8"/>
  <c r="V45" i="8"/>
  <c r="U45" i="8"/>
  <c r="T45" i="8"/>
  <c r="S45" i="8"/>
  <c r="R45" i="8"/>
  <c r="Q45" i="8"/>
  <c r="P45" i="8"/>
  <c r="O45" i="8"/>
  <c r="N45" i="8"/>
  <c r="M45" i="8"/>
  <c r="L45" i="8"/>
  <c r="J45" i="8"/>
  <c r="G39" i="8"/>
  <c r="F39" i="8" s="1"/>
  <c r="F38" i="8" s="1"/>
  <c r="E38" i="8"/>
  <c r="D39" i="8"/>
  <c r="AG38" i="8"/>
  <c r="AF38" i="8"/>
  <c r="AE38" i="8"/>
  <c r="AD38" i="8"/>
  <c r="AC38" i="8"/>
  <c r="AB38" i="8"/>
  <c r="AA38" i="8"/>
  <c r="Z38" i="8"/>
  <c r="Y38" i="8"/>
  <c r="X38" i="8"/>
  <c r="W38" i="8"/>
  <c r="V38" i="8"/>
  <c r="U38" i="8"/>
  <c r="T38" i="8"/>
  <c r="S38" i="8"/>
  <c r="R38" i="8"/>
  <c r="Q38" i="8"/>
  <c r="P38" i="8"/>
  <c r="O38" i="8"/>
  <c r="N38" i="8"/>
  <c r="M38" i="8"/>
  <c r="L38" i="8"/>
  <c r="K38" i="8"/>
  <c r="J38" i="8"/>
  <c r="K10" i="8"/>
  <c r="M18" i="8"/>
  <c r="N10" i="8"/>
  <c r="O10" i="8"/>
  <c r="Q18" i="8"/>
  <c r="R10" i="8"/>
  <c r="S18" i="8"/>
  <c r="V18" i="8"/>
  <c r="W10" i="8"/>
  <c r="Y18" i="8"/>
  <c r="Z10" i="8"/>
  <c r="E10" i="8" s="1"/>
  <c r="AA10" i="8"/>
  <c r="AB18" i="8"/>
  <c r="AC18" i="8"/>
  <c r="AD18" i="8"/>
  <c r="AE18" i="8"/>
  <c r="AG18" i="8"/>
  <c r="G29" i="8"/>
  <c r="D29" i="8"/>
  <c r="G28" i="8"/>
  <c r="F28" i="8" s="1"/>
  <c r="E27" i="8"/>
  <c r="D28" i="8"/>
  <c r="AG27" i="8"/>
  <c r="AF27" i="8"/>
  <c r="AE27" i="8"/>
  <c r="AD27" i="8"/>
  <c r="AC27" i="8"/>
  <c r="AB27" i="8"/>
  <c r="AA27" i="8"/>
  <c r="Z27" i="8"/>
  <c r="Y27" i="8"/>
  <c r="X27" i="8"/>
  <c r="W27" i="8"/>
  <c r="V27" i="8"/>
  <c r="U27" i="8"/>
  <c r="T27" i="8"/>
  <c r="S27" i="8"/>
  <c r="R27" i="8"/>
  <c r="Q27" i="8"/>
  <c r="P27" i="8"/>
  <c r="O27" i="8"/>
  <c r="N27" i="8"/>
  <c r="M27" i="8"/>
  <c r="L27" i="8"/>
  <c r="K27" i="8"/>
  <c r="J27" i="8"/>
  <c r="G26" i="8"/>
  <c r="F26" i="8" s="1"/>
  <c r="D26" i="8"/>
  <c r="G25" i="8"/>
  <c r="D25" i="8"/>
  <c r="AG24" i="8"/>
  <c r="AF24" i="8"/>
  <c r="AE24" i="8"/>
  <c r="AD24" i="8"/>
  <c r="AC24" i="8"/>
  <c r="AB24" i="8"/>
  <c r="AA24" i="8"/>
  <c r="Z24" i="8"/>
  <c r="Y24" i="8"/>
  <c r="X24" i="8"/>
  <c r="W24" i="8"/>
  <c r="V24" i="8"/>
  <c r="U24" i="8"/>
  <c r="T24" i="8"/>
  <c r="S24" i="8"/>
  <c r="R24" i="8"/>
  <c r="Q24" i="8"/>
  <c r="P24" i="8"/>
  <c r="O24" i="8"/>
  <c r="N24" i="8"/>
  <c r="M24" i="8"/>
  <c r="L24" i="8"/>
  <c r="K24" i="8"/>
  <c r="J24" i="8"/>
  <c r="G23" i="8"/>
  <c r="F23" i="8" s="1"/>
  <c r="D23" i="8"/>
  <c r="G22" i="8"/>
  <c r="D22" i="8"/>
  <c r="AG21" i="8"/>
  <c r="AF21" i="8"/>
  <c r="AE21" i="8"/>
  <c r="AD21" i="8"/>
  <c r="AC21" i="8"/>
  <c r="AB21" i="8"/>
  <c r="AA21" i="8"/>
  <c r="Z21" i="8"/>
  <c r="Y21" i="8"/>
  <c r="X21" i="8"/>
  <c r="W21" i="8"/>
  <c r="V21" i="8"/>
  <c r="U21" i="8"/>
  <c r="T21" i="8"/>
  <c r="S21" i="8"/>
  <c r="R21" i="8"/>
  <c r="Q21" i="8"/>
  <c r="P21" i="8"/>
  <c r="O21" i="8"/>
  <c r="N21" i="8"/>
  <c r="M21" i="8"/>
  <c r="L21" i="8"/>
  <c r="K21" i="8"/>
  <c r="J21" i="8"/>
  <c r="X18" i="8"/>
  <c r="AE49" i="8"/>
  <c r="AD49" i="8"/>
  <c r="AA49" i="8"/>
  <c r="W49" i="8"/>
  <c r="U49" i="8"/>
  <c r="S49" i="8"/>
  <c r="O49" i="8"/>
  <c r="L49" i="8"/>
  <c r="J49" i="8"/>
  <c r="G16" i="8"/>
  <c r="F16" i="8" s="1"/>
  <c r="D16" i="8"/>
  <c r="G15" i="8"/>
  <c r="D15" i="8"/>
  <c r="G14" i="8"/>
  <c r="D14" i="8"/>
  <c r="AG13" i="8"/>
  <c r="AF13" i="8"/>
  <c r="AE13" i="8"/>
  <c r="AD13" i="8"/>
  <c r="AC13" i="8"/>
  <c r="AB13" i="8"/>
  <c r="AA13" i="8"/>
  <c r="Z13" i="8"/>
  <c r="Y13" i="8"/>
  <c r="X13" i="8"/>
  <c r="W13" i="8"/>
  <c r="V13" i="8"/>
  <c r="U13" i="8"/>
  <c r="T13" i="8"/>
  <c r="S13" i="8"/>
  <c r="R13" i="8"/>
  <c r="Q13" i="8"/>
  <c r="P13" i="8"/>
  <c r="O13" i="8"/>
  <c r="N13" i="8"/>
  <c r="M13" i="8"/>
  <c r="L13" i="8"/>
  <c r="K13" i="8"/>
  <c r="J13" i="8"/>
  <c r="Z49" i="8" l="1"/>
  <c r="E50" i="8"/>
  <c r="E49" i="8" s="1"/>
  <c r="Z11" i="8"/>
  <c r="E11" i="8" s="1"/>
  <c r="AA55" i="8"/>
  <c r="AA11" i="8"/>
  <c r="AA8" i="8" s="1"/>
  <c r="G21" i="8"/>
  <c r="Y55" i="8"/>
  <c r="Y11" i="8"/>
  <c r="AF49" i="8"/>
  <c r="AF11" i="8"/>
  <c r="X49" i="8"/>
  <c r="X11" i="8"/>
  <c r="V55" i="8"/>
  <c r="I12" i="20"/>
  <c r="E9" i="14"/>
  <c r="E10" i="14"/>
  <c r="Z18" i="8"/>
  <c r="N18" i="8"/>
  <c r="G38" i="8"/>
  <c r="U8" i="8"/>
  <c r="E55" i="8"/>
  <c r="AF10" i="8"/>
  <c r="X10" i="8"/>
  <c r="T10" i="8"/>
  <c r="P10" i="8"/>
  <c r="L10" i="8"/>
  <c r="M9" i="8"/>
  <c r="Y9" i="8"/>
  <c r="N49" i="8"/>
  <c r="P55" i="8"/>
  <c r="H21" i="20"/>
  <c r="AI19" i="9"/>
  <c r="AI18" i="9"/>
  <c r="E21" i="9"/>
  <c r="AI21" i="9"/>
  <c r="AI17" i="9"/>
  <c r="H52" i="8"/>
  <c r="N55" i="8"/>
  <c r="J18" i="8"/>
  <c r="G56" i="8"/>
  <c r="G55" i="8" s="1"/>
  <c r="J55" i="8"/>
  <c r="D50" i="8"/>
  <c r="D49" i="8" s="1"/>
  <c r="Y10" i="8"/>
  <c r="Y8" i="8" s="1"/>
  <c r="Q10" i="8"/>
  <c r="Q8" i="8" s="1"/>
  <c r="E45" i="8"/>
  <c r="K8" i="8"/>
  <c r="X9" i="8"/>
  <c r="X8" i="8" s="1"/>
  <c r="AB10" i="8"/>
  <c r="AG10" i="8"/>
  <c r="AA18" i="8"/>
  <c r="O9" i="8"/>
  <c r="AE10" i="8"/>
  <c r="AE8" i="8" s="1"/>
  <c r="S10" i="8"/>
  <c r="AC10" i="8"/>
  <c r="AC8" i="8" s="1"/>
  <c r="M10" i="8"/>
  <c r="T49" i="8"/>
  <c r="AD10" i="8"/>
  <c r="AD8" i="8" s="1"/>
  <c r="V10" i="8"/>
  <c r="K49" i="8"/>
  <c r="D8" i="4"/>
  <c r="H38" i="14"/>
  <c r="I28" i="14"/>
  <c r="H35" i="14"/>
  <c r="F34" i="4"/>
  <c r="E26" i="14"/>
  <c r="H25" i="14"/>
  <c r="F11" i="4"/>
  <c r="I25" i="14"/>
  <c r="E27" i="9"/>
  <c r="H11" i="4"/>
  <c r="I12" i="4"/>
  <c r="H12" i="4"/>
  <c r="F12" i="4"/>
  <c r="G8" i="4"/>
  <c r="I34" i="4"/>
  <c r="H34" i="4"/>
  <c r="I21" i="20"/>
  <c r="D8" i="20"/>
  <c r="G8" i="20"/>
  <c r="I33" i="14"/>
  <c r="E22" i="14"/>
  <c r="I35" i="14"/>
  <c r="I38" i="14"/>
  <c r="I28" i="9"/>
  <c r="E13" i="9"/>
  <c r="E17" i="9"/>
  <c r="G27" i="9"/>
  <c r="H10" i="20"/>
  <c r="F12" i="20"/>
  <c r="I10" i="20"/>
  <c r="F10" i="20"/>
  <c r="H12" i="20"/>
  <c r="I9" i="20"/>
  <c r="H9" i="20"/>
  <c r="F9" i="20"/>
  <c r="E18" i="14"/>
  <c r="H15" i="14"/>
  <c r="I21" i="14"/>
  <c r="E42" i="14"/>
  <c r="F33" i="14"/>
  <c r="E32" i="14"/>
  <c r="D32" i="14"/>
  <c r="E29" i="14"/>
  <c r="I31" i="14"/>
  <c r="H33" i="14"/>
  <c r="I20" i="14"/>
  <c r="F31" i="14"/>
  <c r="AA42" i="14"/>
  <c r="I34" i="14"/>
  <c r="H31" i="14"/>
  <c r="J42" i="14"/>
  <c r="D42" i="14" s="1"/>
  <c r="I43" i="14"/>
  <c r="I30" i="14"/>
  <c r="G18" i="14"/>
  <c r="G32" i="14"/>
  <c r="D9" i="14"/>
  <c r="D29" i="14"/>
  <c r="I19" i="14"/>
  <c r="G23" i="14"/>
  <c r="F23" i="14" s="1"/>
  <c r="AD8" i="14"/>
  <c r="V8" i="14"/>
  <c r="R8" i="14"/>
  <c r="I27" i="14"/>
  <c r="H27" i="14"/>
  <c r="G24" i="14"/>
  <c r="G26" i="14"/>
  <c r="D18" i="14"/>
  <c r="I16" i="14"/>
  <c r="W8" i="14"/>
  <c r="I14" i="14"/>
  <c r="M8" i="14"/>
  <c r="Y8" i="14"/>
  <c r="I15" i="14"/>
  <c r="E13" i="14"/>
  <c r="T8" i="14"/>
  <c r="U8" i="14"/>
  <c r="AG8" i="14"/>
  <c r="D13" i="14"/>
  <c r="AF8" i="14"/>
  <c r="F20" i="14"/>
  <c r="H20" i="14"/>
  <c r="F19" i="14"/>
  <c r="F21" i="14"/>
  <c r="H19" i="14"/>
  <c r="H21" i="14"/>
  <c r="I44" i="14"/>
  <c r="F44" i="14"/>
  <c r="D24" i="14"/>
  <c r="D44" i="14"/>
  <c r="H44" i="14" s="1"/>
  <c r="S8" i="14"/>
  <c r="AE8" i="14"/>
  <c r="G13" i="14"/>
  <c r="G29" i="14"/>
  <c r="G42" i="14"/>
  <c r="D23" i="14"/>
  <c r="D43" i="14"/>
  <c r="H43" i="14" s="1"/>
  <c r="X8" i="14"/>
  <c r="F14" i="14"/>
  <c r="F28" i="14"/>
  <c r="F26" i="14" s="1"/>
  <c r="F30" i="14"/>
  <c r="F34" i="14"/>
  <c r="F43" i="14"/>
  <c r="N8" i="14"/>
  <c r="Z8" i="14"/>
  <c r="H14" i="14"/>
  <c r="H16" i="14"/>
  <c r="H28" i="14"/>
  <c r="H30" i="14"/>
  <c r="H34" i="14"/>
  <c r="AA8" i="14"/>
  <c r="I29" i="9"/>
  <c r="D27" i="9"/>
  <c r="I30" i="9"/>
  <c r="H29" i="9"/>
  <c r="F28" i="9"/>
  <c r="F30" i="9"/>
  <c r="H28" i="9"/>
  <c r="H30" i="9"/>
  <c r="G17" i="9"/>
  <c r="D25" i="9"/>
  <c r="D24" i="9" s="1"/>
  <c r="AF24" i="9"/>
  <c r="G25" i="9"/>
  <c r="F25" i="9" s="1"/>
  <c r="F24" i="9" s="1"/>
  <c r="AG24" i="9"/>
  <c r="I22" i="9"/>
  <c r="AG21" i="9"/>
  <c r="D17" i="9"/>
  <c r="P8" i="9"/>
  <c r="Q8" i="9"/>
  <c r="F21" i="9"/>
  <c r="G21" i="9"/>
  <c r="J21" i="9"/>
  <c r="K21" i="9"/>
  <c r="H19" i="9"/>
  <c r="I20" i="9"/>
  <c r="I18" i="9"/>
  <c r="D13" i="9"/>
  <c r="I19" i="9"/>
  <c r="F18" i="9"/>
  <c r="F20" i="9"/>
  <c r="H18" i="9"/>
  <c r="H20" i="9"/>
  <c r="S8" i="9"/>
  <c r="AE8" i="9"/>
  <c r="Z8" i="9"/>
  <c r="I14" i="9"/>
  <c r="AC8" i="9"/>
  <c r="AB8" i="9"/>
  <c r="AF8" i="9"/>
  <c r="I15" i="9"/>
  <c r="AG8" i="9"/>
  <c r="V8" i="9"/>
  <c r="K8" i="9"/>
  <c r="W8" i="9"/>
  <c r="X8" i="9"/>
  <c r="F14" i="9"/>
  <c r="N8" i="9"/>
  <c r="H14" i="9"/>
  <c r="I57" i="8"/>
  <c r="I58" i="8"/>
  <c r="H57" i="8"/>
  <c r="D56" i="8"/>
  <c r="D55" i="8" s="1"/>
  <c r="K55" i="8"/>
  <c r="F58" i="8"/>
  <c r="F57" i="8" s="1"/>
  <c r="H58" i="8"/>
  <c r="G50" i="8"/>
  <c r="F50" i="8" s="1"/>
  <c r="F49" i="8" s="1"/>
  <c r="R8" i="8"/>
  <c r="I53" i="8"/>
  <c r="I54" i="8"/>
  <c r="D51" i="8"/>
  <c r="H51" i="8" s="1"/>
  <c r="I52" i="8"/>
  <c r="H53" i="8"/>
  <c r="F54" i="8"/>
  <c r="F53" i="8" s="1"/>
  <c r="H54" i="8"/>
  <c r="I51" i="8"/>
  <c r="F52" i="8"/>
  <c r="F51" i="8" s="1"/>
  <c r="H25" i="8"/>
  <c r="D36" i="8"/>
  <c r="H36" i="8" s="1"/>
  <c r="K18" i="8"/>
  <c r="O18" i="8"/>
  <c r="W18" i="8"/>
  <c r="G27" i="8"/>
  <c r="I27" i="8" s="1"/>
  <c r="I36" i="8"/>
  <c r="G35" i="8"/>
  <c r="D45" i="8"/>
  <c r="E21" i="8"/>
  <c r="I21" i="8" s="1"/>
  <c r="I39" i="8"/>
  <c r="I23" i="8"/>
  <c r="L18" i="8"/>
  <c r="I46" i="8"/>
  <c r="F25" i="8"/>
  <c r="F24" i="8" s="1"/>
  <c r="I29" i="8"/>
  <c r="D24" i="8"/>
  <c r="I47" i="8"/>
  <c r="D38" i="8"/>
  <c r="H38" i="8" s="1"/>
  <c r="H46" i="8"/>
  <c r="F47" i="8"/>
  <c r="F45" i="8" s="1"/>
  <c r="H47" i="8"/>
  <c r="G45" i="8"/>
  <c r="I38" i="8"/>
  <c r="H39" i="8"/>
  <c r="D27" i="8"/>
  <c r="P18" i="8"/>
  <c r="I26" i="8"/>
  <c r="E24" i="8"/>
  <c r="D19" i="8"/>
  <c r="E18" i="8"/>
  <c r="D21" i="8"/>
  <c r="H21" i="8" s="1"/>
  <c r="D20" i="8"/>
  <c r="T18" i="8"/>
  <c r="G20" i="8"/>
  <c r="U18" i="8"/>
  <c r="AF18" i="8"/>
  <c r="R18" i="8"/>
  <c r="G19" i="8"/>
  <c r="H28" i="8"/>
  <c r="I28" i="8"/>
  <c r="F29" i="8"/>
  <c r="F27" i="8" s="1"/>
  <c r="H29" i="8"/>
  <c r="I25" i="8"/>
  <c r="G24" i="8"/>
  <c r="H26" i="8"/>
  <c r="F22" i="8"/>
  <c r="F21" i="8" s="1"/>
  <c r="I22" i="8"/>
  <c r="H22" i="8"/>
  <c r="H23" i="8"/>
  <c r="I14" i="8"/>
  <c r="I15" i="8"/>
  <c r="E13" i="8"/>
  <c r="D13" i="8"/>
  <c r="G13" i="8"/>
  <c r="W8" i="8"/>
  <c r="H14" i="8"/>
  <c r="H16" i="8"/>
  <c r="F14" i="8"/>
  <c r="I16" i="8"/>
  <c r="F15" i="8"/>
  <c r="H15" i="8"/>
  <c r="Z8" i="8" l="1"/>
  <c r="G9" i="8"/>
  <c r="F9" i="8" s="1"/>
  <c r="O8" i="8"/>
  <c r="S8" i="8"/>
  <c r="AG8" i="8"/>
  <c r="V8" i="8"/>
  <c r="AF8" i="8"/>
  <c r="P8" i="8"/>
  <c r="H9" i="8"/>
  <c r="D10" i="8"/>
  <c r="F35" i="8"/>
  <c r="H27" i="8"/>
  <c r="F56" i="8"/>
  <c r="F55" i="8" s="1"/>
  <c r="T8" i="8"/>
  <c r="N8" i="8"/>
  <c r="I34" i="8"/>
  <c r="H35" i="8"/>
  <c r="AB8" i="8"/>
  <c r="AI16" i="9"/>
  <c r="AI20" i="9"/>
  <c r="I13" i="9"/>
  <c r="H13" i="9"/>
  <c r="I17" i="9"/>
  <c r="I26" i="14"/>
  <c r="G49" i="8"/>
  <c r="I49" i="8" s="1"/>
  <c r="I50" i="8"/>
  <c r="H50" i="8"/>
  <c r="D18" i="8"/>
  <c r="G11" i="8"/>
  <c r="F11" i="8" s="1"/>
  <c r="M8" i="8"/>
  <c r="D34" i="8"/>
  <c r="H34" i="8" s="1"/>
  <c r="G10" i="8"/>
  <c r="F10" i="8" s="1"/>
  <c r="J8" i="8"/>
  <c r="I27" i="9"/>
  <c r="F17" i="9"/>
  <c r="F27" i="9"/>
  <c r="F8" i="4"/>
  <c r="D22" i="14"/>
  <c r="I18" i="14"/>
  <c r="F8" i="20"/>
  <c r="F29" i="14"/>
  <c r="H27" i="9"/>
  <c r="I8" i="4"/>
  <c r="H8" i="4"/>
  <c r="I32" i="14"/>
  <c r="H26" i="14"/>
  <c r="F32" i="14"/>
  <c r="H18" i="14"/>
  <c r="H17" i="9"/>
  <c r="I8" i="20"/>
  <c r="H8" i="20"/>
  <c r="I24" i="14"/>
  <c r="G22" i="14"/>
  <c r="I22" i="14" s="1"/>
  <c r="H32" i="14"/>
  <c r="F13" i="14"/>
  <c r="F42" i="14"/>
  <c r="Q8" i="14"/>
  <c r="G9" i="14"/>
  <c r="H9" i="14" s="1"/>
  <c r="AB8" i="14"/>
  <c r="P8" i="14"/>
  <c r="H23" i="14"/>
  <c r="AC8" i="14"/>
  <c r="I23" i="14"/>
  <c r="F24" i="14"/>
  <c r="F22" i="14" s="1"/>
  <c r="G10" i="14"/>
  <c r="I10" i="14" s="1"/>
  <c r="D10" i="14"/>
  <c r="O8" i="14"/>
  <c r="F18" i="14"/>
  <c r="G11" i="14"/>
  <c r="K8" i="14"/>
  <c r="J8" i="14"/>
  <c r="E8" i="14"/>
  <c r="D11" i="14"/>
  <c r="L8" i="14"/>
  <c r="I42" i="14"/>
  <c r="H42" i="14"/>
  <c r="I29" i="14"/>
  <c r="H29" i="14"/>
  <c r="I13" i="14"/>
  <c r="H13" i="14"/>
  <c r="H24" i="14"/>
  <c r="I25" i="9"/>
  <c r="O8" i="9"/>
  <c r="U8" i="9"/>
  <c r="L8" i="9"/>
  <c r="R8" i="9"/>
  <c r="H25" i="9"/>
  <c r="G24" i="9"/>
  <c r="AI23" i="9" s="1"/>
  <c r="AA8" i="9"/>
  <c r="I21" i="9"/>
  <c r="H21" i="9"/>
  <c r="G9" i="9"/>
  <c r="T8" i="9"/>
  <c r="AD8" i="9"/>
  <c r="Y8" i="9"/>
  <c r="M8" i="9"/>
  <c r="E8" i="9"/>
  <c r="J8" i="9"/>
  <c r="H56" i="8"/>
  <c r="I55" i="8"/>
  <c r="H55" i="8"/>
  <c r="I56" i="8"/>
  <c r="F20" i="8"/>
  <c r="I20" i="8"/>
  <c r="D11" i="8"/>
  <c r="I35" i="8"/>
  <c r="I13" i="8"/>
  <c r="L8" i="8"/>
  <c r="I45" i="8"/>
  <c r="H45" i="8"/>
  <c r="H20" i="8"/>
  <c r="G18" i="8"/>
  <c r="F19" i="8"/>
  <c r="I19" i="8"/>
  <c r="H19" i="8"/>
  <c r="I24" i="8"/>
  <c r="H24" i="8"/>
  <c r="H13" i="8"/>
  <c r="I9" i="8"/>
  <c r="F13" i="8"/>
  <c r="D8" i="8" l="1"/>
  <c r="E8" i="8"/>
  <c r="I10" i="8"/>
  <c r="H10" i="8"/>
  <c r="F18" i="8"/>
  <c r="G8" i="8"/>
  <c r="H49" i="8"/>
  <c r="I11" i="8"/>
  <c r="H11" i="8"/>
  <c r="F9" i="14"/>
  <c r="I9" i="14"/>
  <c r="H22" i="14"/>
  <c r="H10" i="14"/>
  <c r="D8" i="14"/>
  <c r="F10" i="14"/>
  <c r="I11" i="14"/>
  <c r="H11" i="14"/>
  <c r="F11" i="14"/>
  <c r="G8" i="14"/>
  <c r="I24" i="9"/>
  <c r="H24" i="9"/>
  <c r="H9" i="9"/>
  <c r="I9" i="9"/>
  <c r="F9" i="9"/>
  <c r="G8" i="9"/>
  <c r="I18" i="8"/>
  <c r="H18" i="8"/>
  <c r="F8" i="8"/>
  <c r="H8" i="8" l="1"/>
  <c r="I8" i="8"/>
  <c r="H8" i="9"/>
  <c r="F8" i="14"/>
  <c r="F8" i="9"/>
  <c r="I8" i="14"/>
  <c r="H8" i="14"/>
  <c r="I8" i="9"/>
  <c r="K13" i="2" l="1"/>
  <c r="L13" i="2"/>
  <c r="M13" i="2"/>
  <c r="N13" i="2"/>
  <c r="O13" i="2"/>
  <c r="P13" i="2"/>
  <c r="Q13" i="2"/>
  <c r="R13" i="2"/>
  <c r="S13" i="2"/>
  <c r="U13" i="2"/>
  <c r="W13" i="2"/>
  <c r="X13" i="2"/>
  <c r="Y13" i="2"/>
  <c r="Z13" i="2"/>
  <c r="AA13" i="2"/>
  <c r="AB13" i="2"/>
  <c r="AC13" i="2"/>
  <c r="AD13" i="2"/>
  <c r="AE13" i="2"/>
  <c r="AF13" i="2"/>
  <c r="AG13" i="2"/>
  <c r="J13" i="2"/>
  <c r="K17" i="2"/>
  <c r="L17" i="2"/>
  <c r="M17" i="2"/>
  <c r="N17" i="2"/>
  <c r="O17" i="2"/>
  <c r="P17" i="2"/>
  <c r="Q17" i="2"/>
  <c r="R17" i="2"/>
  <c r="S17" i="2"/>
  <c r="T17" i="2"/>
  <c r="U17" i="2"/>
  <c r="V17" i="2"/>
  <c r="W17" i="2"/>
  <c r="X17" i="2"/>
  <c r="Y17" i="2"/>
  <c r="Z17" i="2"/>
  <c r="AA17" i="2"/>
  <c r="AB17" i="2"/>
  <c r="AC17" i="2"/>
  <c r="AD17" i="2"/>
  <c r="AE17" i="2"/>
  <c r="AF17" i="2"/>
  <c r="AG17" i="2"/>
  <c r="J17" i="2"/>
  <c r="L9" i="12"/>
  <c r="M9" i="12"/>
  <c r="N9" i="12"/>
  <c r="O9" i="12"/>
  <c r="P9" i="12"/>
  <c r="Q9" i="12"/>
  <c r="S9" i="12"/>
  <c r="T9" i="12"/>
  <c r="U9" i="12"/>
  <c r="V9" i="12"/>
  <c r="W9" i="12"/>
  <c r="X9" i="12"/>
  <c r="Y9" i="12"/>
  <c r="Z9" i="12"/>
  <c r="AA9" i="12"/>
  <c r="AB9" i="12"/>
  <c r="AC9" i="12"/>
  <c r="AD9" i="12"/>
  <c r="AE9" i="12"/>
  <c r="AF9" i="12"/>
  <c r="AG9" i="12"/>
  <c r="E10" i="12"/>
  <c r="J10" i="12"/>
  <c r="J8" i="12"/>
  <c r="K14" i="12"/>
  <c r="L14" i="12"/>
  <c r="M14" i="12"/>
  <c r="N14" i="12"/>
  <c r="O14" i="12"/>
  <c r="P14" i="12"/>
  <c r="Q14" i="12"/>
  <c r="R14" i="12"/>
  <c r="S14" i="12"/>
  <c r="T14" i="12"/>
  <c r="U14" i="12"/>
  <c r="V14" i="12"/>
  <c r="W14" i="12"/>
  <c r="X14" i="12"/>
  <c r="Y14" i="12"/>
  <c r="Z14" i="12"/>
  <c r="AA14" i="12"/>
  <c r="AB14" i="12"/>
  <c r="AC14" i="12"/>
  <c r="AD14" i="12"/>
  <c r="AE14" i="12"/>
  <c r="AF14" i="12"/>
  <c r="AG14" i="12"/>
  <c r="J14" i="12"/>
  <c r="K12" i="12"/>
  <c r="L12" i="12"/>
  <c r="M12" i="12"/>
  <c r="N12" i="12"/>
  <c r="O12" i="12"/>
  <c r="P12" i="12"/>
  <c r="Q12" i="12"/>
  <c r="R12" i="12"/>
  <c r="S12" i="12"/>
  <c r="T12" i="12"/>
  <c r="U12" i="12"/>
  <c r="V12" i="12"/>
  <c r="W12" i="12"/>
  <c r="X12" i="12"/>
  <c r="Y12" i="12"/>
  <c r="Z12" i="12"/>
  <c r="AA12" i="12"/>
  <c r="AB12" i="12"/>
  <c r="AC12" i="12"/>
  <c r="AD12" i="12"/>
  <c r="AE12" i="12"/>
  <c r="AF12" i="12"/>
  <c r="AG12" i="12"/>
  <c r="J12" i="12"/>
  <c r="G15" i="12"/>
  <c r="E14" i="12"/>
  <c r="D14" i="12"/>
  <c r="D12" i="12"/>
  <c r="AC8" i="12"/>
  <c r="AB8" i="12"/>
  <c r="Y8" i="12"/>
  <c r="X8" i="12"/>
  <c r="Q8" i="12"/>
  <c r="P8" i="12"/>
  <c r="G14" i="12" l="1"/>
  <c r="F15" i="12"/>
  <c r="AD8" i="12"/>
  <c r="AA8" i="12"/>
  <c r="W8" i="12"/>
  <c r="K8" i="12"/>
  <c r="AG8" i="12"/>
  <c r="U8" i="12"/>
  <c r="M8" i="12"/>
  <c r="Z8" i="12"/>
  <c r="V8" i="12"/>
  <c r="AF8" i="12"/>
  <c r="L8" i="12"/>
  <c r="D13" i="2"/>
  <c r="D17" i="2"/>
  <c r="O8" i="12"/>
  <c r="G9" i="12"/>
  <c r="I9" i="12" s="1"/>
  <c r="T8" i="12"/>
  <c r="D10" i="12"/>
  <c r="N8" i="12"/>
  <c r="AE8" i="12"/>
  <c r="R8" i="12"/>
  <c r="S8" i="12"/>
  <c r="G10" i="12"/>
  <c r="D9" i="12"/>
  <c r="I15" i="12"/>
  <c r="I13" i="12"/>
  <c r="H14" i="12"/>
  <c r="F9" i="12"/>
  <c r="H13" i="12"/>
  <c r="H15" i="12"/>
  <c r="G9" i="2"/>
  <c r="D18" i="2"/>
  <c r="K11" i="2"/>
  <c r="L11" i="2"/>
  <c r="M11" i="2"/>
  <c r="N11" i="2"/>
  <c r="O11" i="2"/>
  <c r="P11" i="2"/>
  <c r="Q11" i="2"/>
  <c r="R11" i="2"/>
  <c r="S11" i="2"/>
  <c r="U11" i="2"/>
  <c r="V11" i="2"/>
  <c r="W11" i="2"/>
  <c r="X11" i="2"/>
  <c r="Y11" i="2"/>
  <c r="Z11" i="2"/>
  <c r="AA11" i="2"/>
  <c r="AB11" i="2"/>
  <c r="AD11" i="2"/>
  <c r="AE11" i="2"/>
  <c r="AF11" i="2"/>
  <c r="AG11" i="2"/>
  <c r="J11" i="2"/>
  <c r="N10" i="2"/>
  <c r="O10" i="2"/>
  <c r="P10" i="2"/>
  <c r="Q10" i="2"/>
  <c r="R10" i="2"/>
  <c r="S10" i="2"/>
  <c r="U10" i="2"/>
  <c r="V10" i="2"/>
  <c r="W10" i="2"/>
  <c r="X10" i="2"/>
  <c r="Y10" i="2"/>
  <c r="Z10" i="2"/>
  <c r="AA10" i="2"/>
  <c r="AB10" i="2"/>
  <c r="AC10" i="2"/>
  <c r="AD10" i="2"/>
  <c r="AE10" i="2"/>
  <c r="AF10" i="2"/>
  <c r="AG10" i="2"/>
  <c r="J10" i="2"/>
  <c r="K9" i="2"/>
  <c r="L9" i="2"/>
  <c r="M9" i="2"/>
  <c r="N9" i="2"/>
  <c r="O9" i="2"/>
  <c r="P9" i="2"/>
  <c r="Q9" i="2"/>
  <c r="R9" i="2"/>
  <c r="T9" i="2"/>
  <c r="U9" i="2"/>
  <c r="V9" i="2"/>
  <c r="X9" i="2"/>
  <c r="Y9" i="2"/>
  <c r="Z9" i="2"/>
  <c r="AA9" i="2"/>
  <c r="AB9" i="2"/>
  <c r="AC9" i="2"/>
  <c r="AD9" i="2"/>
  <c r="AE9" i="2"/>
  <c r="AF9" i="2"/>
  <c r="AG9" i="2"/>
  <c r="J9" i="2"/>
  <c r="E8" i="2"/>
  <c r="G13" i="2"/>
  <c r="F11" i="2"/>
  <c r="D11" i="2"/>
  <c r="K15" i="13"/>
  <c r="K9" i="13" s="1"/>
  <c r="L15" i="13"/>
  <c r="L9" i="13" s="1"/>
  <c r="M15" i="13"/>
  <c r="M9" i="13" s="1"/>
  <c r="N15" i="13"/>
  <c r="N9" i="13" s="1"/>
  <c r="O15" i="13"/>
  <c r="O9" i="13" s="1"/>
  <c r="P15" i="13"/>
  <c r="P9" i="13" s="1"/>
  <c r="Q15" i="13"/>
  <c r="Q9" i="13" s="1"/>
  <c r="R15" i="13"/>
  <c r="S15" i="13"/>
  <c r="S9" i="13" s="1"/>
  <c r="T15" i="13"/>
  <c r="U15" i="13"/>
  <c r="U9" i="13" s="1"/>
  <c r="V15" i="13"/>
  <c r="W15" i="13"/>
  <c r="W9" i="13" s="1"/>
  <c r="X15" i="13"/>
  <c r="X9" i="13" s="1"/>
  <c r="Y15" i="13"/>
  <c r="Y9" i="13" s="1"/>
  <c r="Z15" i="13"/>
  <c r="AA15" i="13"/>
  <c r="AA9" i="13" s="1"/>
  <c r="AB15" i="13"/>
  <c r="AB9" i="13" s="1"/>
  <c r="AC15" i="13"/>
  <c r="AC9" i="13" s="1"/>
  <c r="AD15" i="13"/>
  <c r="AD9" i="13" s="1"/>
  <c r="AE15" i="13"/>
  <c r="AE9" i="13" s="1"/>
  <c r="AF15" i="13"/>
  <c r="AF9" i="13" s="1"/>
  <c r="AG15" i="13"/>
  <c r="AG9" i="13" s="1"/>
  <c r="J15" i="13"/>
  <c r="K18" i="13"/>
  <c r="L18" i="13"/>
  <c r="M18" i="13"/>
  <c r="N18" i="13"/>
  <c r="O18" i="13"/>
  <c r="P18" i="13"/>
  <c r="Q18" i="13"/>
  <c r="R18" i="13"/>
  <c r="S18" i="13"/>
  <c r="T18" i="13"/>
  <c r="U18" i="13"/>
  <c r="V18" i="13"/>
  <c r="W18" i="13"/>
  <c r="X18" i="13"/>
  <c r="Y18" i="13"/>
  <c r="Z18" i="13"/>
  <c r="AA18" i="13"/>
  <c r="AB18" i="13"/>
  <c r="AC18" i="13"/>
  <c r="AD18" i="13"/>
  <c r="AE18" i="13"/>
  <c r="AF18" i="13"/>
  <c r="AG18" i="13"/>
  <c r="J18" i="13"/>
  <c r="Z9" i="13" l="1"/>
  <c r="E15" i="13"/>
  <c r="E9" i="13" s="1"/>
  <c r="V9" i="13"/>
  <c r="T9" i="13"/>
  <c r="R9" i="13"/>
  <c r="G11" i="2"/>
  <c r="H11" i="2" s="1"/>
  <c r="AF8" i="2"/>
  <c r="L8" i="2"/>
  <c r="H13" i="2"/>
  <c r="G10" i="2"/>
  <c r="D8" i="12"/>
  <c r="H9" i="12"/>
  <c r="I10" i="12"/>
  <c r="H10" i="12"/>
  <c r="F14" i="12"/>
  <c r="F10" i="12"/>
  <c r="F12" i="12"/>
  <c r="G8" i="12"/>
  <c r="E8" i="12"/>
  <c r="I14" i="12"/>
  <c r="H12" i="12"/>
  <c r="I12" i="12"/>
  <c r="AC8" i="2"/>
  <c r="Q8" i="2"/>
  <c r="AB8" i="2"/>
  <c r="P8" i="2"/>
  <c r="AD8" i="2"/>
  <c r="AA8" i="2"/>
  <c r="O8" i="2"/>
  <c r="I15" i="2"/>
  <c r="E13" i="2"/>
  <c r="I13" i="2" s="1"/>
  <c r="J8" i="2"/>
  <c r="Z8" i="2"/>
  <c r="W8" i="2"/>
  <c r="K8" i="2"/>
  <c r="AE8" i="2"/>
  <c r="S8" i="2"/>
  <c r="G17" i="2"/>
  <c r="E17" i="2"/>
  <c r="D9" i="2"/>
  <c r="R8" i="2"/>
  <c r="I18" i="2"/>
  <c r="H18" i="2"/>
  <c r="T8" i="2"/>
  <c r="N8" i="2"/>
  <c r="M8" i="2"/>
  <c r="X8" i="2"/>
  <c r="V8" i="2"/>
  <c r="Y8" i="2"/>
  <c r="AG8" i="2"/>
  <c r="U8" i="2"/>
  <c r="I19" i="2"/>
  <c r="F19" i="2"/>
  <c r="D19" i="2"/>
  <c r="H15" i="2"/>
  <c r="J9" i="13"/>
  <c r="G19" i="13"/>
  <c r="G18" i="13" s="1"/>
  <c r="E18" i="13"/>
  <c r="D19" i="13"/>
  <c r="D18" i="13" s="1"/>
  <c r="G17" i="13"/>
  <c r="G16" i="13" s="1"/>
  <c r="E16" i="13"/>
  <c r="D17" i="13"/>
  <c r="D16" i="13" s="1"/>
  <c r="G15" i="13"/>
  <c r="E14" i="13"/>
  <c r="D15" i="13"/>
  <c r="AG14" i="13"/>
  <c r="AF14" i="13"/>
  <c r="AE14" i="13"/>
  <c r="AD14" i="13"/>
  <c r="AC14" i="13"/>
  <c r="AB14" i="13"/>
  <c r="AA14" i="13"/>
  <c r="Z14" i="13"/>
  <c r="Y14" i="13"/>
  <c r="X14" i="13"/>
  <c r="W14" i="13"/>
  <c r="V14" i="13"/>
  <c r="U14" i="13"/>
  <c r="T14" i="13"/>
  <c r="S14" i="13"/>
  <c r="R14" i="13"/>
  <c r="Q14" i="13"/>
  <c r="P14" i="13"/>
  <c r="O14" i="13"/>
  <c r="N14" i="13"/>
  <c r="M14" i="13"/>
  <c r="L14" i="13"/>
  <c r="K14" i="13"/>
  <c r="J14" i="13"/>
  <c r="G12" i="13"/>
  <c r="G11" i="13" s="1"/>
  <c r="E11" i="13"/>
  <c r="D12" i="13"/>
  <c r="AG11" i="13"/>
  <c r="AF11" i="13"/>
  <c r="AE11" i="13"/>
  <c r="AD11" i="13"/>
  <c r="AC11" i="13"/>
  <c r="AB11" i="13"/>
  <c r="AA11" i="13"/>
  <c r="Z11" i="13"/>
  <c r="Y11" i="13"/>
  <c r="X11" i="13"/>
  <c r="W11" i="13"/>
  <c r="V11" i="13"/>
  <c r="U11" i="13"/>
  <c r="T11" i="13"/>
  <c r="S11" i="13"/>
  <c r="R11" i="13"/>
  <c r="Q11" i="13"/>
  <c r="P11" i="13"/>
  <c r="O11" i="13"/>
  <c r="N11" i="13"/>
  <c r="M11" i="13"/>
  <c r="L11" i="13"/>
  <c r="K11" i="13"/>
  <c r="J11" i="13"/>
  <c r="X8" i="13"/>
  <c r="F10" i="2" l="1"/>
  <c r="F17" i="2"/>
  <c r="G8" i="2"/>
  <c r="I10" i="2"/>
  <c r="H10" i="2"/>
  <c r="I11" i="2"/>
  <c r="F8" i="12"/>
  <c r="H8" i="12"/>
  <c r="I8" i="12"/>
  <c r="F8" i="2"/>
  <c r="I17" i="2"/>
  <c r="H17" i="2"/>
  <c r="I9" i="2"/>
  <c r="H9" i="2"/>
  <c r="H19" i="2"/>
  <c r="G14" i="13"/>
  <c r="G9" i="13"/>
  <c r="D14" i="13"/>
  <c r="D9" i="13"/>
  <c r="R8" i="13"/>
  <c r="U8" i="13"/>
  <c r="AG8" i="13"/>
  <c r="AD8" i="13"/>
  <c r="K8" i="13"/>
  <c r="W8" i="13"/>
  <c r="Y8" i="13"/>
  <c r="Z8" i="13"/>
  <c r="I19" i="13"/>
  <c r="H18" i="13"/>
  <c r="AA8" i="13"/>
  <c r="J8" i="13"/>
  <c r="M8" i="13"/>
  <c r="N8" i="13"/>
  <c r="I17" i="13"/>
  <c r="V8" i="13"/>
  <c r="I16" i="13"/>
  <c r="I18" i="13"/>
  <c r="I11" i="13"/>
  <c r="L8" i="13"/>
  <c r="F12" i="13"/>
  <c r="F15" i="13"/>
  <c r="F19" i="13"/>
  <c r="F18" i="13" s="1"/>
  <c r="H12" i="13"/>
  <c r="H15" i="13"/>
  <c r="H19" i="13"/>
  <c r="O8" i="13"/>
  <c r="I12" i="13"/>
  <c r="I15" i="13"/>
  <c r="P8" i="13"/>
  <c r="D11" i="13"/>
  <c r="H11" i="13" s="1"/>
  <c r="Q8" i="13"/>
  <c r="AC8" i="13"/>
  <c r="F17" i="13"/>
  <c r="F16" i="13" s="1"/>
  <c r="S8" i="13"/>
  <c r="AE8" i="13"/>
  <c r="T8" i="13"/>
  <c r="AF8" i="13"/>
  <c r="H17" i="13"/>
  <c r="AB8" i="13"/>
  <c r="H14" i="13" l="1"/>
  <c r="I14" i="13"/>
  <c r="I8" i="2"/>
  <c r="H8" i="2"/>
  <c r="F14" i="13"/>
  <c r="F9" i="13"/>
  <c r="F8" i="13" s="1"/>
  <c r="D8" i="13"/>
  <c r="I9" i="13"/>
  <c r="G8" i="13"/>
  <c r="E8" i="13"/>
  <c r="H16" i="13"/>
  <c r="H9" i="13"/>
  <c r="F11" i="13"/>
  <c r="I8" i="13" l="1"/>
  <c r="H8" i="13"/>
</calcChain>
</file>

<file path=xl/comments1.xml><?xml version="1.0" encoding="utf-8"?>
<comments xmlns="http://schemas.openxmlformats.org/spreadsheetml/2006/main">
  <authors>
    <author>Митина Екатерина Сергеевна</author>
  </authors>
  <commentList>
    <comment ref="B25" authorId="0" guid="{88A36811-EC1A-481B-9393-47D7D61D0291}" shapeId="0">
      <text>
        <r>
          <rPr>
            <b/>
            <sz val="9"/>
            <color indexed="81"/>
            <rFont val="Tahoma"/>
            <family val="2"/>
            <charset val="204"/>
          </rPr>
          <t>Митина Екатерина Сергеевна: Реализация данного проекта предусмотрена в 2026 году (фин.средств на 2025 год нет)</t>
        </r>
        <r>
          <rPr>
            <sz val="9"/>
            <color indexed="81"/>
            <rFont val="Tahoma"/>
            <family val="2"/>
            <charset val="204"/>
          </rPr>
          <t xml:space="preserve">
</t>
        </r>
      </text>
    </comment>
  </commentList>
</comments>
</file>

<file path=xl/comments2.xml><?xml version="1.0" encoding="utf-8"?>
<comments xmlns="http://schemas.openxmlformats.org/spreadsheetml/2006/main">
  <authors>
    <author>Митина Екатерина Сергеевна</author>
  </authors>
  <commentList>
    <comment ref="C11" authorId="0" guid="{555D3A72-B607-4B72-94FE-F5A36671F93C}" shapeId="0">
      <text>
        <r>
          <rPr>
            <b/>
            <sz val="9"/>
            <color indexed="81"/>
            <rFont val="Tahoma"/>
            <family val="2"/>
            <charset val="204"/>
          </rPr>
          <t>Митина Екатерина Сергеевна:</t>
        </r>
        <r>
          <rPr>
            <sz val="9"/>
            <color indexed="81"/>
            <rFont val="Tahoma"/>
            <family val="2"/>
            <charset val="204"/>
          </rPr>
          <t xml:space="preserve">
04.01.07</t>
        </r>
      </text>
    </comment>
  </commentList>
</comments>
</file>

<file path=xl/comments3.xml><?xml version="1.0" encoding="utf-8"?>
<comments xmlns="http://schemas.openxmlformats.org/spreadsheetml/2006/main">
  <authors>
    <author>Минич Наталья Анатольевна</author>
  </authors>
  <commentList>
    <comment ref="B8" authorId="0" guid="{FFE059F1-AE9E-455B-B610-4721B0075391}"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33" authorId="0" guid="{29E6DEBA-77DB-400D-9F6E-DBBAE5604A25}"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 ref="C35" authorId="0" guid="{225837D6-4C22-4395-BB1C-BF5D3724481D}" shapeId="0">
      <text>
        <r>
          <rPr>
            <b/>
            <sz val="11"/>
            <color indexed="81"/>
            <rFont val="Tahoma"/>
            <family val="2"/>
            <charset val="204"/>
          </rPr>
          <t xml:space="preserve">Минич Наталья Анатольевна:
</t>
        </r>
        <r>
          <rPr>
            <b/>
            <u/>
            <sz val="11"/>
            <color indexed="81"/>
            <rFont val="Tahoma"/>
            <family val="2"/>
            <charset val="204"/>
          </rPr>
          <t xml:space="preserve">Планы </t>
        </r>
        <r>
          <rPr>
            <sz val="11"/>
            <color indexed="81"/>
            <rFont val="Tahoma"/>
            <family val="2"/>
            <charset val="204"/>
          </rPr>
          <t xml:space="preserve">формируем через отчет "Роспись и уведомления с кодом субидии" по л/с КСАТ 050.03.007 т/с 04.01.08
Тип класификации ставим галочку "Доходная"
</t>
        </r>
        <r>
          <rPr>
            <b/>
            <u/>
            <sz val="11"/>
            <color indexed="81"/>
            <rFont val="Tahoma"/>
            <family val="2"/>
            <charset val="204"/>
          </rPr>
          <t xml:space="preserve">Кассу </t>
        </r>
        <r>
          <rPr>
            <sz val="11"/>
            <color indexed="81"/>
            <rFont val="Tahoma"/>
            <family val="2"/>
            <charset val="204"/>
          </rPr>
          <t xml:space="preserve">формируем через отчет как в бюджете по т/с 04.01.08
</t>
        </r>
      </text>
    </comment>
  </commentList>
</comments>
</file>

<file path=xl/sharedStrings.xml><?xml version="1.0" encoding="utf-8"?>
<sst xmlns="http://schemas.openxmlformats.org/spreadsheetml/2006/main" count="2133" uniqueCount="456">
  <si>
    <t>тыс. рублей</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</si>
  <si>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</si>
  <si>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</si>
  <si>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</si>
  <si>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</si>
  <si>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</si>
  <si>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</si>
  <si>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</si>
  <si>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</si>
  <si>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</si>
  <si>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</si>
  <si>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</si>
  <si>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</si>
  <si>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</si>
  <si>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</si>
  <si>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</si>
  <si>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</si>
  <si>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</si>
  <si>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 xml:space="preserve">план </t>
  </si>
  <si>
    <t>кассовый расход</t>
  </si>
  <si>
    <t>Всего</t>
  </si>
  <si>
    <t>бюджет города Когалыма</t>
  </si>
  <si>
    <t>бюджет автономного округа</t>
  </si>
  <si>
    <t>Всего по муниципальной программе</t>
  </si>
  <si>
    <t xml:space="preserve">Отчет о ходе реализации муниципальной программы </t>
  </si>
  <si>
    <t xml:space="preserve"> "Экономическое развитие города Когалыма" </t>
  </si>
  <si>
    <t>№п/п</t>
  </si>
  <si>
    <t>к плану на год</t>
  </si>
  <si>
    <t>к плану на отчетную дату</t>
  </si>
  <si>
    <t>Наименование направления (подпрограмм), структурных элементов</t>
  </si>
  <si>
    <t>Источники финансирования</t>
  </si>
  <si>
    <t>Направление (подпрограмма) «Совершенствование системы муниципального стратегического управления и развитие сферы муниципальных услуг»</t>
  </si>
  <si>
    <t>Структурные элементы, не входящие в направления (подпрограммы)</t>
  </si>
  <si>
    <t xml:space="preserve">Комплекс процессных мероприятий «Реализация механизмов стратегического управления социально-экономическим развитием города Когалыма» / «Приобретение статистической информации, подготовленной в соответствии с официальной методологией
Росстата»:
</t>
  </si>
  <si>
    <t>Комплекс процессных мероприятий «Обеспечение деятельности органов местного самоуправления города Когалыма», в том числе:</t>
  </si>
  <si>
    <t>«Обеспечено функционирование управления экономики Администрации города
Когалыма»</t>
  </si>
  <si>
    <t>«Обеспечено функционирование отдела муниципального заказа Администрации
города Когалыма»</t>
  </si>
  <si>
    <t xml:space="preserve"> 1.1</t>
  </si>
  <si>
    <t xml:space="preserve"> 2.1</t>
  </si>
  <si>
    <t xml:space="preserve"> "Содержание объектов городского хозяйства в городе Когалыме" </t>
  </si>
  <si>
    <t>внебюджетные источники</t>
  </si>
  <si>
    <t>Комплекс процессных мероприятий «Организация благоустройства территории города Когалыма и содержание объектов городского хозяйства города Когалыма» / Мероприятие (результат) «Организовано благоустройство территории города Когалыма и содержание объектов городского хозяйства города Когалыма»</t>
  </si>
  <si>
    <t>Направление (подпрограмма) «Обеспечение комплекса мер для решения вопросов местного значения»</t>
  </si>
  <si>
    <t>Направление (подпрограмма) «Организация благоустройства территории города Когалыма и содержание объектов городского хозяйства города Когалыма»</t>
  </si>
  <si>
    <t>Комплекс процессных мероприятий «Обеспечение функций и полномочий, переданных Администрацией города Когалыма в сфере жилищно-коммунального хозяйства» / Мероприятие (результат) «Организована реализация переданных полномочий в сфере жилищно-коммунального и городского хозяйства в городе Когалыме»</t>
  </si>
  <si>
    <t xml:space="preserve"> "Экологическая безопасность города Когалыма" </t>
  </si>
  <si>
    <t>Направление (подпрограмма) «Развитие системы обращения с отходами производства и потребления в городе Когалыме»</t>
  </si>
  <si>
    <t>Комплекс процессных мероприятий «Обеспечение регулирования деятельности по обращению с отходами производства и потребления в городе Когалыме» / «Обеспечение регулирования деятельности по обращению с отходами производства и потребления в городе Когалыме»</t>
  </si>
  <si>
    <t>Комплекс процессных мероприятий «Предупреждение и ликвидация несанкционированных свалок на территории города Когалыма» / «Организация мероприятий по выявлению, предупреждению и ликвидации несанкционированных свалок»</t>
  </si>
  <si>
    <t>Направление (подпрограмма) Повышение уровня благоустройства общественных территорий города Когалыма</t>
  </si>
  <si>
    <t>РП 1.1</t>
  </si>
  <si>
    <t xml:space="preserve"> 1.2</t>
  </si>
  <si>
    <t>федеральный бюджет</t>
  </si>
  <si>
    <t>Региональный проект «Формирование комфортной городской среды» / Реализация программ формирования современной городской среды</t>
  </si>
  <si>
    <t>Направление (подпрограмма) Градостроительное обеспечение и комплексное развитие территорий</t>
  </si>
  <si>
    <t xml:space="preserve"> РП 2.1</t>
  </si>
  <si>
    <t>Региональный проект «Национальная система пространственных данных» / Выполнение комплексных кадастровых работ</t>
  </si>
  <si>
    <t>Направление 1. «Реализация мероприятий по обеспечению жильем молодых семей»</t>
  </si>
  <si>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 Обеспечены жильем молодые семьи в городе Когалыме
жилищно-коммунальных услуг»</t>
  </si>
  <si>
    <t>Комплекс процессных мероприятий «Развитие градостроительного регулирования в сфере жилищного строительства», в том числе:</t>
  </si>
  <si>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t>
  </si>
  <si>
    <t xml:space="preserve">Мероприятие (результат) «Разработка (актуализация) документации в области градостроительной деятельности» </t>
  </si>
  <si>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</si>
  <si>
    <t xml:space="preserve"> 3.1</t>
  </si>
  <si>
    <t>Комплекс процессных мероприятий «Оказание мер государственной поддержки на приобретение жилых помещений отдельным категориям граждан», в том числе:</t>
  </si>
  <si>
    <t>Мероприятие (результат) «Реализованы полномочия по обеспечению жилыми помещениями отдельных категорий
граждан»</t>
  </si>
  <si>
    <t>Направление 2. «Содействие развитию жилищного строительства»</t>
  </si>
  <si>
    <t>Направление 3. «Обеспечение мерами финансовой поддержки по улучшению жилищных условий отдельных категорий граждан»</t>
  </si>
  <si>
    <t xml:space="preserve"> 4.1</t>
  </si>
  <si>
    <t>Мероприятие (результат) «Обеспечено функционирование ОАиГ»</t>
  </si>
  <si>
    <t>Мероприятие (результат) «Обеспечено функционирование УпоЖП»</t>
  </si>
  <si>
    <t xml:space="preserve"> 4.2</t>
  </si>
  <si>
    <t>Комплекс процессных мероприятий «Обеспечение деятельности муниципальных казенных учреждений города Когалыма», в том числе:</t>
  </si>
  <si>
    <t>Мероприятие (результат) «Обеспечено функционирование МКУ «УКС и ЖКК г. Когалыма»</t>
  </si>
  <si>
    <t xml:space="preserve"> "Развитие жилищно-коммунального комплекса в городе Когалыме" </t>
  </si>
  <si>
    <t>Направление (подпрограмма) «Создание условий для обеспечения качественными коммунальными услугами»</t>
  </si>
  <si>
    <t>РП 1.2</t>
  </si>
  <si>
    <t>Региональный проект «Модернизация коммунальной инфраструктуры»</t>
  </si>
  <si>
    <t>Региональный проект «Создание (реконструкция) коммунальных объектов» / Строительство, реконструкция объектов инженерной и коммунальной инфраструктуры</t>
  </si>
  <si>
    <t xml:space="preserve">Комплекс процессных мероприятий «Создание условий для обеспечения качественными коммунальными услугами» / Мероприятие (результат) «Разработка топливно-энергетического баланса города Когалыма за 2024 год и актуализация прогнозного баланса до 2035 года» </t>
  </si>
  <si>
    <t>Направление (подпрограмма) «Содействие проведению капитального ремонта многоквартирных домов»</t>
  </si>
  <si>
    <t>Комплекс процессных мероприятий «Содействие проведению капитального ремонта многоквартирных домов» / 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</si>
  <si>
    <t xml:space="preserve">Направление (подпрограмма)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</si>
  <si>
    <t>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Мероприятие (результат) «Предоставление субсидий на реализацию полномочий в сфере жилищнокоммунального комплекса»</t>
  </si>
  <si>
    <t>Направление (подпрограмма) 1. «Автомобильный транспорт»</t>
  </si>
  <si>
    <t>Направление (подпрограмма) 2. «Дорожное хозяйство»</t>
  </si>
  <si>
    <t>РП 2.1</t>
  </si>
  <si>
    <t>Комплекс процессных мероприятий «Организация дорожной деятельности в отношении автомобильных дорог местного значения в границах города Когалыма», в том числе:</t>
  </si>
  <si>
    <t>Направление (подпрограмма) 3. «Безопасность дорожного движения»</t>
  </si>
  <si>
    <t>Комплекс процессных мероприятий «Организация пассажирских перевозок автомобильным транспортом общего пользования по городским маршрутам» / Мероприятие (результат) «Обеспечение выполнения работ по перевозке пассажиров по городским маршрутам»</t>
  </si>
  <si>
    <t>Региональный проект «Строительство (реконструкция) автомобильных дорог общего пользования местного значения» / Проведены мероприятия по строительству (реконструкции), ремонту, в том числе капитальному,
автомобильных дорог местного значения</t>
  </si>
  <si>
    <t>Обеспечение текущего содержания автомобильных дорог местного значения в рамках муниципального задания</t>
  </si>
  <si>
    <t xml:space="preserve">Обеспечение организации дорожного движения </t>
  </si>
  <si>
    <t>Строительство, реконструкция, капитальный ремонт, ремонт сетей наружного освещения автомобильных дорог общего пользования
местного значения</t>
  </si>
  <si>
    <t>Обустройство объектов дорожной инфраструктуры</t>
  </si>
  <si>
    <t xml:space="preserve">Проведение работ по строительству, реконструкции и ремонту, в том числе капитальному, автомобильных дорог местного значения
пользования местного значения
</t>
  </si>
  <si>
    <t>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 Мероприятие (результат) «Обеспечение бесперебойного функционирования системы фотовидеофиксации»</t>
  </si>
  <si>
    <t xml:space="preserve"> 2.1.3</t>
  </si>
  <si>
    <t xml:space="preserve"> 2.1.2</t>
  </si>
  <si>
    <t xml:space="preserve"> 2.1.1</t>
  </si>
  <si>
    <t xml:space="preserve"> 2.1.4</t>
  </si>
  <si>
    <t xml:space="preserve"> 2.1.5</t>
  </si>
  <si>
    <t>Направление (подпрограмма) «Развитие малого и среднего предпринимательства, повышение инвестиционной привлекательности»</t>
  </si>
  <si>
    <t xml:space="preserve"> РП 1.1</t>
  </si>
  <si>
    <t>Региональный проект «Малое и среднее предпринимательство и поддержка индивидуальной предпринимательской инициативы», в том числе:</t>
  </si>
  <si>
    <t xml:space="preserve">Предоставление субсидий на финансовую поддержку субъектов малого и среднего предпринимательства и развитие социального предпринимательства </t>
  </si>
  <si>
    <t>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t>
  </si>
  <si>
    <t>Комплекс процессных мероприятий «Обеспечение деятельности органов местного самоуправления города Когалыма» / «Обеспечено функционирование управления инвестиционной деятельности и развития
предпринимательства Администрации города Когалыма»</t>
  </si>
  <si>
    <t xml:space="preserve"> "Развитие малого и среднего предпринимательства и инвестиционной деятельности в городе Когалыме" </t>
  </si>
  <si>
    <t xml:space="preserve"> "Развитие транспортной системы города Когалыма" </t>
  </si>
  <si>
    <t xml:space="preserve"> "Развитие жилищной сферы в городе Когалыме" </t>
  </si>
  <si>
    <t xml:space="preserve"> "Формирование комфортной городской среды в городе Когалыме" </t>
  </si>
  <si>
    <t xml:space="preserve"> "Культурное пространство города Когалыма" </t>
  </si>
  <si>
    <t>внебюджетные источики</t>
  </si>
  <si>
    <t>Направление 1. «Модернизация и развитие учреждений и организаций культуры»</t>
  </si>
  <si>
    <t>Региональный проект «Сохранение культурного и исторического наследия», в том числе:</t>
  </si>
  <si>
    <t>1.1.1.  Проведены мероприятия по комплектованию книжных фондов библиотек муниципальных
образований всего</t>
  </si>
  <si>
    <t>1.2.1. Модернизированы библиотеки в муниципальных образованиях</t>
  </si>
  <si>
    <t>1.2.2.   Подключены общедоступные библиотеки в муниципальных образованиях к сети Интернет
и развита система библиотечного дела с учетом задачи расширения информационных
технологий и оцифровки всего</t>
  </si>
  <si>
    <t>Региональный проект «Семейные ценности и инфраструктура культуры»</t>
  </si>
  <si>
    <t>Комплекс процессных мероприятий «Организация и развитие культурной деятельности подведомственных учреждений в сфере культуры», в том числе:</t>
  </si>
  <si>
    <t>1.1 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всего, в том числе:</t>
  </si>
  <si>
    <t xml:space="preserve">1.1./1.1.1 Обеспечена деятельность (оказаны услуги) общедоступных библиотек города Когалыма </t>
  </si>
  <si>
    <t xml:space="preserve">1.1./.1.1.2    Укомплектован книжный фонд города Когалыма </t>
  </si>
  <si>
    <t xml:space="preserve">1.1./.1.1.3    Проведены библиотечные мероприятия, направленные на повышение читательского интереса </t>
  </si>
  <si>
    <t xml:space="preserve">1.1./1.1.4 Обеспечена деятельность (оказаны музейные услуги) </t>
  </si>
  <si>
    <t>1.1./.1.1.5   Пополнен фонд музея города Когалыма</t>
  </si>
  <si>
    <t>1.1./.1.1.6   Обеспечена информатизация музея города Когалым</t>
  </si>
  <si>
    <t>1.1./.1.1.7   Оказана поддержка выставочных проектов на базе МАУ «МВЦ»</t>
  </si>
  <si>
    <t>1.1./.1.1.8   Реализованы музейные проекты</t>
  </si>
  <si>
    <t xml:space="preserve">1.1./1.1.9 Обеспечена деятельность (оказаны услуги) муниципального культурно-досугового учреждения города Когалыма </t>
  </si>
  <si>
    <t>1.1./.1.1.10   Организованы и проведены культурно-массовые мероприятия</t>
  </si>
  <si>
    <t>1.1./.1.1.11  Оказана поддержка деятелей культуры и искусства</t>
  </si>
  <si>
    <t>1.2. 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всего, в том числе:</t>
  </si>
  <si>
    <t xml:space="preserve">1.2.1.Оказана поддержка немуниципальных организаций (коммерческих, некоммерческих) и индивидуальных предпринимателей, осуществляющих деятельность в сфере культуры </t>
  </si>
  <si>
    <t xml:space="preserve">1.2.2.Оказана поддержка некоммерческих организаций, в том числе добровольческих (волонтерских), по реализации проектов в сфере культуры </t>
  </si>
  <si>
    <t xml:space="preserve">1.3./1.3.1   «Укреплены материально-технические базы учреждений культуры города Когалыма» </t>
  </si>
  <si>
    <t>Комплекс процессных мероприятий «Развитие дополнительного образования в сфере культуры» / «Обеспечено осуществление деятельности автономного учреждения дополнительного образования в сфере культуры»</t>
  </si>
  <si>
    <t xml:space="preserve"> 1.3</t>
  </si>
  <si>
    <t xml:space="preserve">Комплекс процессный мероприятий «Развитие туризма» / Мероприятие (результат) «Осуществлено продвижение внутреннего и въездного туризма»  </t>
  </si>
  <si>
    <t xml:space="preserve"> 1.4</t>
  </si>
  <si>
    <t>Комплекс процессных мероприятий «Создание условий для сохранения культурного и
исторического наследия и развития архивного дела» всего, в том числе</t>
  </si>
  <si>
    <t>4.1./4.1.1.     Мероприятие (результат) «Проведено мероприятие для устойчивого развития коренных малочисленных народов / Обеспечено сохранение, возрождение и развитие народных художественных промыслов и ремесел "Севера"</t>
  </si>
  <si>
    <t xml:space="preserve">4.2 / 4.2.1   Мероприятие (результат) «Предоставлена субвенция на развитие архивного дела» / Обеспечено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t>
  </si>
  <si>
    <t xml:space="preserve"> 1.5</t>
  </si>
  <si>
    <t xml:space="preserve">Обеспечено осуществление функций Управления культуры и спорта Администрации города Когалыма </t>
  </si>
  <si>
    <t>Обеспечена деятельность (оказаны услуги) архивного отдела Администрации города Когалыма</t>
  </si>
  <si>
    <t xml:space="preserve"> "Развитие агропромышленного комплекса в городе Когалыме" </t>
  </si>
  <si>
    <t>Направление (подпрограмма) «Развитие сельскохозяйственного производства и деятельности по заготовке и переработке дикоросов»</t>
  </si>
  <si>
    <t>Комплекс процессных мероприятий «Поддержка сельскохозяйственного производства и деятельности по заготовке и переработке дикоросов»/Мероприятие (результат) «Предоставление финансовой поддержки за произведенную и реализованную продукцию агропромышленного комплекса города Когалыма, на содержание поголовья сельскохозяйственных животных»</t>
  </si>
  <si>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 Мероприятие (результат) «Предоставление финансовой поддержки сельскохозяйственным товаропроизводителям, связанной с реализацией произведенной сельскохозяйственной продукции (животноводства, растениеводства)»
</t>
  </si>
  <si>
    <t>1.</t>
  </si>
  <si>
    <t xml:space="preserve"> 1.1.</t>
  </si>
  <si>
    <t>2.</t>
  </si>
  <si>
    <t>2.1.</t>
  </si>
  <si>
    <t>2.2.</t>
  </si>
  <si>
    <t>3.</t>
  </si>
  <si>
    <t>3.1.</t>
  </si>
  <si>
    <t xml:space="preserve"> "Развитие муниципальной службы в городе Когалыме" </t>
  </si>
  <si>
    <t>Направление (подпрограмма) «Повышение профессионального уровня муниципальных служащих органов местного самоуправления города Когалыма»</t>
  </si>
  <si>
    <t xml:space="preserve">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t>
  </si>
  <si>
    <t>Направление (подпрограмма) «Создание условий для развития муниципальной службы в органах местного самоуправления города Когалыма»</t>
  </si>
  <si>
    <t xml:space="preserve"> 2.1.</t>
  </si>
  <si>
    <t>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t>
  </si>
  <si>
    <t>Комплекс процессных мероприятий «Осуществление переданных государственных полномочий в области регистрации актов гражданского состояния» / Мероприятие (результат) «Исполнены переданные государственные полномочия по государственной регистрации актов гражданского состояния»</t>
  </si>
  <si>
    <t>Направление (подпрограмма) «Структурные элементы, не входящие в направления (подпрограммы)»</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</si>
  <si>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должностных лиц и структурных подразделений Администрации города Когалыма (глава города Когалыма, заместители главы города Когалыма, управление по общим вопросам, юридическое управление, специальный сектор, отдел финансово-экономического обеспечения и контроля, отдел муниципального контроля Администрации города Когалыма»</t>
  </si>
  <si>
    <t>"Управление муниципальными финансами в городе Когалыме"</t>
  </si>
  <si>
    <t>Направление «Проведение бюджетной и налоговой политики в пределах установленных полномочий, направленной на обеспечение сбалансированности, устойчивости бюджета города Когалыма, создание условий для качественной организации бюджетного процесса»</t>
  </si>
  <si>
    <t>1.1.</t>
  </si>
  <si>
    <t xml:space="preserve">Комплекс процессных мероприятий «Обеспечение деятельности органов местного самоуправления города Когалыма», в том числе:
</t>
  </si>
  <si>
    <t xml:space="preserve">Мероприятие (результат) «Обеспечена деятельность Комитета финансов Администрации города Когалыма» </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</si>
  <si>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</si>
  <si>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</si>
  <si>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</si>
  <si>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</si>
  <si>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</si>
  <si>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</si>
  <si>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</si>
  <si>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</si>
  <si>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 xml:space="preserve"> "Безопасность жизнедеятельности населения города Когалыма" </t>
  </si>
  <si>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</si>
  <si>
    <t>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в том числе:</t>
  </si>
  <si>
    <t xml:space="preserve"> Мероприятие (результат) «Обеспечена безопасность населения на водных объектах города Когалыма»</t>
  </si>
  <si>
    <t xml:space="preserve"> 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t>
  </si>
  <si>
    <t xml:space="preserve"> 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t>
  </si>
  <si>
    <t xml:space="preserve"> Мероприятие (результат) «Организованы и проведены мероприятия, направленные на приобретение материально-технической базы для курсов гражданской обороны»</t>
  </si>
  <si>
    <t xml:space="preserve"> Мероприятие (результат) «Организована противопожарная пропаганда и проведено обучение мерам пожарной безопасности населения города Когалыма»</t>
  </si>
  <si>
    <r>
      <rPr>
        <b/>
        <sz val="12"/>
        <rFont val="Times New Roman"/>
        <family val="1"/>
        <charset val="204"/>
      </rPr>
      <t>Комплекс процессных мероприятий «Обеспечение деятельности органов местного самоуправления города Когалыма»</t>
    </r>
    <r>
      <rPr>
        <b/>
        <sz val="12"/>
        <color rgb="FFFF0000"/>
        <rFont val="Times New Roman"/>
        <family val="1"/>
        <charset val="204"/>
      </rPr>
      <t xml:space="preserve"> </t>
    </r>
    <r>
      <rPr>
        <b/>
        <sz val="12"/>
        <rFont val="Times New Roman"/>
        <family val="1"/>
        <charset val="204"/>
      </rPr>
      <t>/ Мероприятие (результат) «Обеспечена деятельность отдела по делам ГО и ЧС Администрации города Когалыма»</t>
    </r>
  </si>
  <si>
    <t>Комплекс процессных мероприятий «Обеспечение деятельности муниципальных казенных учреждений города Когалыма» / Мероприятие (результат) «Обеспечена уставная деятельность МКУ «ЕДДС города Когалыма»</t>
  </si>
  <si>
    <t xml:space="preserve"> "Укрепление межнационального и межконфессионального согласия, профилактика экстремизма и терроризма в городе Когалыме" </t>
  </si>
  <si>
    <t>Направление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</si>
  <si>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в том числе:</t>
  </si>
  <si>
    <t xml:space="preserve">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</si>
  <si>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t>
  </si>
  <si>
    <t>Мероприятие (результат) «Реализованы мероприятия, направленные на укрепление общероссийской гражданской идентичности. Содействие этнокультурному и духовному развитию народов России»</t>
  </si>
  <si>
    <t>Направление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</si>
  <si>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в том числе:</t>
  </si>
  <si>
    <t>Мероприятие (результат) «Организованы мероприятия по профилактике экстремизма и терроризма»</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</si>
  <si>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t>
  </si>
  <si>
    <t>Мероприятие (результат) «Организован мониторинг экстремистских настроений в молодежной среде»</t>
  </si>
  <si>
    <t>Направление «Усиление антитеррористической защищенности объектов, находящихся в муниципальной собственности»</t>
  </si>
  <si>
    <t>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в том числе:</t>
  </si>
  <si>
    <t>Мероприятие (результат) «Организовано повышение уровня антитеррористической защищенности объектов, находящихся в муниципальной собственности»</t>
  </si>
  <si>
    <t xml:space="preserve"> "Содействие занятости населения города Когалыма" </t>
  </si>
  <si>
    <t>Направление (подпрограмма) «Содействие трудоустройству граждан»</t>
  </si>
  <si>
    <t>Комплекс процессных мероприятий «Содействие трудоустройству граждан, в том числе граждан с инвалидностью», в том числе:</t>
  </si>
  <si>
    <t>1. Оказано содействие в организации оплачиваемых общественных работ для не занятых трудовой деятельностью и безработных граждан</t>
  </si>
  <si>
    <t>2. Организовано временное трудоустройство несовершеннолетних граждан в возрасте от 14 до 18 лет в свободное от учёбы время</t>
  </si>
  <si>
    <t>3. Организовано временное трудоустройство несовершеннолетних граждан в возрасте от 14 до 18 лет в течение учебного года</t>
  </si>
  <si>
    <t>4. Привлечены прочие специалисты для организации работ трудовых бригад несовершеннолетних граждан</t>
  </si>
  <si>
    <t>5.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t>
  </si>
  <si>
    <t>Направление (подпрограмма) «Улучшение условий и охраны труда в городе Когалыме»</t>
  </si>
  <si>
    <t>Комплекс процессных мероприятий «Безопасный труд» всего, в том числе</t>
  </si>
  <si>
    <t>Осуществление отдельных государственных полномочий в сфере трудовых отношений и государственного управления охраной труда в городе Когалыме (субвенции)</t>
  </si>
  <si>
    <t>Организованы смотры – конкурсы по охране труда</t>
  </si>
  <si>
    <t xml:space="preserve"> "Профилактика правонарушений и обеспечение отдельных прав граждан в городе Когалыме" </t>
  </si>
  <si>
    <t>Направление (подпрограмма) «Профилактика правонарушений»</t>
  </si>
  <si>
    <t>Комплекс процессных мероприятий «Создание условий для деятельности  народных дружин» / Мероприятие (результат) «Обеспечена деятельность  народных дружин»</t>
  </si>
  <si>
    <t xml:space="preserve"> 1.2.</t>
  </si>
  <si>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</si>
  <si>
    <t>1.3.</t>
  </si>
  <si>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</si>
  <si>
    <t>1.4.</t>
  </si>
  <si>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</si>
  <si>
    <t>1.5.</t>
  </si>
  <si>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</si>
  <si>
    <t>1.6.</t>
  </si>
  <si>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</si>
  <si>
    <t>Направление  (подпрограмма) «Профилактика правонарушений незаконного оборота и потребления наркотических средств и психотропных веществ, наркомании»</t>
  </si>
  <si>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</si>
  <si>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</si>
  <si>
    <t>2.3.</t>
  </si>
  <si>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</si>
  <si>
    <t>2.4.</t>
  </si>
  <si>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</si>
  <si>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</si>
  <si>
    <t xml:space="preserve"> "Развитие образования в городе Когалыме" </t>
  </si>
  <si>
    <t>Направление (подпрограмма) «Общее образование»</t>
  </si>
  <si>
    <t>Региональный проект «Создание условий для обучения, отдыха и оздоровления детей и молодежи» / Создана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</si>
  <si>
    <t>Региональный проект «Педагоги и наставники»всего, в том числе:</t>
  </si>
  <si>
    <t xml:space="preserve">1.1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 </t>
  </si>
  <si>
    <t xml:space="preserve">2.1.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</si>
  <si>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2.2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t>
  </si>
  <si>
    <t>Комплекс процессных мероприятий «Содействие развитию дошкольного и общего образования», в том числе:</t>
  </si>
  <si>
    <t xml:space="preserve">1.1 Внедрение обновленного содержания дошкольного, основного общего и среднего общего
образования, новых методов обучения, обеспечивающих повышение качества дошкольного,
основного общего и среднего общего образования всего, в том числе:
</t>
  </si>
  <si>
    <t xml:space="preserve">1.1./1.1.1 Осуществление деятельности автономных учреждений подведомственных управлению образования Администрации города Когалыма </t>
  </si>
  <si>
    <t xml:space="preserve">1.1./.1.1.2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t>
  </si>
  <si>
    <t xml:space="preserve">1.1./.1.1.3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t>
  </si>
  <si>
    <t xml:space="preserve">1.1./1.1.4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</si>
  <si>
    <t xml:space="preserve">1.1./.1.1.5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t>
  </si>
  <si>
    <t>1.1./1.1.6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</si>
  <si>
    <t>1.2. Поддержка педагогических работников, всего, в том числе:</t>
  </si>
  <si>
    <t>1.2./ 1.2.1.Стимулирование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</si>
  <si>
    <t xml:space="preserve">1.3. Обеспечение обучающихся, получающих образование в муниципальных образовательных организациях горячим питанием </t>
  </si>
  <si>
    <t>Направление (подпрограмма) «Организация дополнительного образования, воспитания, отдыха и оздоровления детей»</t>
  </si>
  <si>
    <t>Комплекс процессных мероприятий «Содействие развитию летнего отдыха и оздоровления»  всего, в том числе</t>
  </si>
  <si>
    <t>2.1./2.1.1.     Обеспечение отдыха и оздоровления детей /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t>
  </si>
  <si>
    <t xml:space="preserve"> 2.2.</t>
  </si>
  <si>
    <t>Комплекс процессных мероприятий «Содействие развитию дополнительного образования детей, воспитания», в том числе:</t>
  </si>
  <si>
    <t>3.1.1.   Развитие системы выявления, поддержки, сопровождения и стимулирования одаренных детей в различных сферах деятельности</t>
  </si>
  <si>
    <t xml:space="preserve">3.1.2.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</si>
  <si>
    <t xml:space="preserve">3.1.3.     Развитие системы доступного дополнительного образования в соответствии с индивидуальными запросами населения </t>
  </si>
  <si>
    <t>3.1.4.     Персонифицированное финансирование дополнительного образования детей</t>
  </si>
  <si>
    <t>3.1.5.     Поддержка немуниципальных организаций (коммерческих,
некоммерческих), осуществляющих деятельность в сфере образования</t>
  </si>
  <si>
    <t xml:space="preserve"> 3.1. </t>
  </si>
  <si>
    <t>Комплекс процессных мероприятий «Комплексная безопасность образовательных организаций, подведомственных Управлению образования» / Создание современных условий для организации безопасного
образовательного процесса всего, в том числе:</t>
  </si>
  <si>
    <t>4.1.1.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</si>
  <si>
    <t>Направление (подпрограмма) «Ресурсное обеспечение в сфере образования»</t>
  </si>
  <si>
    <t xml:space="preserve"> 4.1. </t>
  </si>
  <si>
    <t>«Обеспечение деятельности органов местного самоуправления города Когалыма» / Обеспечение  осуществления полномочий и функций Управления образования Администрации города Когалыма , в том числе:</t>
  </si>
  <si>
    <t xml:space="preserve">5.1.1.   Финансовое и организационно-методическое сопровождение по исполнению бюджетными, автономными образовательными организациями муниципального задания на оказание муниципальных услуг (выполнение работ) </t>
  </si>
  <si>
    <t>5.1.2.     Проведение мероприятий аппаратом управления</t>
  </si>
  <si>
    <t xml:space="preserve"> "Развитие физической культуры и спорта
в городе Когалыме" </t>
  </si>
  <si>
    <t>Направление «Модернизация и развитие учреждений и организаций культуры»</t>
  </si>
  <si>
    <t>Комплекс процессных мероприятий «Развитие физической культуры, массового и детско-юношеского спорта», в том числе:</t>
  </si>
  <si>
    <t>внебюджетные источники финансирования</t>
  </si>
  <si>
    <t>1.1.1.</t>
  </si>
  <si>
    <t>Мероприятие (результат) "Реализованы мероприятия по развитию физической культуры и спорта", в том чисе:</t>
  </si>
  <si>
    <t>1.2.1.</t>
  </si>
  <si>
    <t>Мероприятие (результат) «Оказана поддержка некоммерческих организаций, реализующих проекты в сфере массовой физической культуры»</t>
  </si>
  <si>
    <t>Направление «Развитие спорта высших достижений и системы подготовки спортивного резерва»</t>
  </si>
  <si>
    <t>Комплекс процессных мероприятий «Развитие спорта высших достижений и системы подготовки спортивного резерва»</t>
  </si>
  <si>
    <t>2.1.1.</t>
  </si>
  <si>
    <t>2.1.2.</t>
  </si>
  <si>
    <t>Мероприятие (результат) «Обеспечена подготовка спортивного резерва и сборных команд города Когалыма по видам спорта»</t>
  </si>
  <si>
    <t>Направление «Укрепление общественного здоровья»</t>
  </si>
  <si>
    <t>Комплекс процессных мероприятий «Укрепление общественного здоровья», в том числе / Мероприятие (результат) «Организованы и проведены физкультурно-оздоровительные мероприятия»</t>
  </si>
  <si>
    <t>4.</t>
  </si>
  <si>
    <t>Структурные элементы, не входящие в направление (подпрограммы)</t>
  </si>
  <si>
    <t>4.1.</t>
  </si>
  <si>
    <t xml:space="preserve">Комплекс процессных мероприятий «Обеспечение деятельности органов местного самоуправления города Когалыма» / Мероприятие (результат) «Обеспечено функционирование управления культуры и спорта Администрации города Когалыма» </t>
  </si>
  <si>
    <t>Мероприятие (результат) «Организовано участие спортсменов города Когалыма в соревнованиях различного уровня окружного и всероссийского масштаба»</t>
  </si>
  <si>
    <t>1.1.1. Организация и проведение спортивно-массовых мероприятий</t>
  </si>
  <si>
    <t>1.1.2. Содержание МАУ ДО «СШ «Дворец спорта»</t>
  </si>
  <si>
    <t>1.1.3.Проведение мероприятий по внедрению Всероссийского физкультурно-спортивного комплекса "Готов к труду и обороне"</t>
  </si>
  <si>
    <t>1.1.4. Организация работы по присвоению спортивных разрядов, квалификационных категорий</t>
  </si>
  <si>
    <t>1.1.5. Развитие материально-технической базы МАУ ДО «СШ «Дворец спорта»</t>
  </si>
  <si>
    <t>1.1.6. Организация полезного и содержательного досуга на дворовых игровых площадках и (или) на плоскостных спортивных сооружениях в летний период для детей, подростков и молодёжи, совершенствование условий для развития массовых видов спорта</t>
  </si>
  <si>
    <t xml:space="preserve"> "Развитие гражданского общества города Когалыма»" </t>
  </si>
  <si>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</si>
  <si>
    <t>Комплекс процессных мероприятий «Обеспечение поддержки гражданских инициатив», в том числе:</t>
  </si>
  <si>
    <t>1.  Организован и проведен конкурс социально значимых проектов среди социально ориентированных
некоммерческих организаций города Когалыма</t>
  </si>
  <si>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</si>
  <si>
    <t>3.    Организован и проведен отбор на предоставление субсидий ТОС города Когалыма на осуществление собственных инициатив по вопросам местного значения</t>
  </si>
  <si>
    <t>Поддержка граждан, внесших значительный вклад в развитие гражданского общества</t>
  </si>
  <si>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</si>
  <si>
    <t>Информационная открытость деятельности Администрации города Когалыма</t>
  </si>
  <si>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</si>
  <si>
    <t>Молодежь города Когалыма</t>
  </si>
  <si>
    <t xml:space="preserve"> 4.1.</t>
  </si>
  <si>
    <t xml:space="preserve">Комплекс процессных мероприятий «Молодёжь города Когалыма» всего,
в том числе
</t>
  </si>
  <si>
    <t>1    Создание условий для развития духовно-нравственных и гражданско-патриотических качеств детей и молодёжи</t>
  </si>
  <si>
    <t xml:space="preserve"> 2.    Создание условий для разностороннего развития, самореализации и роста созидательной активности молодёж», (всего), в том числе: </t>
  </si>
  <si>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</si>
  <si>
    <t>2 ./  2.2   Организован и проведен конкурс молодёжных инициатив города Когалыма</t>
  </si>
  <si>
    <t>2 / 2.3    Организованы и проведены мероприятия, проекты по вовлечению молодёжи в добровольческую деятельность</t>
  </si>
  <si>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</si>
  <si>
    <t xml:space="preserve"> 3.     Обеспечение деятельности учреждения сферы работы с молодёжью и развитие его материально-технической базы </t>
  </si>
  <si>
    <t xml:space="preserve"> 4.    Реализация мероприятий в целях организации досуга детей, подростков и молодёжи (всего), в том числ:</t>
  </si>
  <si>
    <t>4. / 4.1    Реализованы мероприятия в целях организации досуга детей, подростков и молодёжи</t>
  </si>
  <si>
    <t>4 ./  4.2   Предоставлена субсидия в связи с выполнением муниципальной работы «Организация досуга детей, подростков и молодёжи»</t>
  </si>
  <si>
    <t xml:space="preserve">  5.2.</t>
  </si>
  <si>
    <t>1 Обеспечено функционирование СпоСВ</t>
  </si>
  <si>
    <t xml:space="preserve">2 Обеспечено функционирование сектора пресс-службы </t>
  </si>
  <si>
    <t>3 Обеспечено функционирование УВП</t>
  </si>
  <si>
    <t>1.2/ 1.2.4.Поддержка студентов педагогических вузов</t>
  </si>
  <si>
    <t xml:space="preserve">Конкурс социально значимых проектов среди социально ориентированных некоммерческих организаций города Когалымазапланирован к ппорваедению в 4  квартале 2025 года </t>
  </si>
  <si>
    <t>В отчетном периоде конкурс не проводился</t>
  </si>
  <si>
    <t>ОАиГ</t>
  </si>
  <si>
    <t>1.1./.1.1.12  Организованы и проведены мероприятия, приуроченные к юбилейным датам города Когалыма всего, в том числе:</t>
  </si>
  <si>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t>
  </si>
  <si>
    <t>Экономия на оплату труда и начисления на нее сложилась  в связи с наличием больничных листов.</t>
  </si>
  <si>
    <t>ПК 1.1</t>
  </si>
  <si>
    <t xml:space="preserve">Комплекс процессных мероприятий «Участие объектов благоустройства в конкурсных
мероприятиях» </t>
  </si>
  <si>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</si>
  <si>
    <t xml:space="preserve">Муниципальный проект «Сквер вблизи СК «Олимп» </t>
  </si>
  <si>
    <t>привлеченный средства</t>
  </si>
  <si>
    <t>Остаток, в связи с переплатой из месного бюджета в январе и феврале месяцах по выставленным счетам. Остаток будет закрыт в течении текущего года.</t>
  </si>
  <si>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</si>
  <si>
    <t>Оосвещение деятельности  структурных подразделенийАдминистрации города Когалыма  в телевизионных эфирах</t>
  </si>
  <si>
    <t>Обеспечение осуществления деятельности муниципального тказенного учреждения "Редакция газеты "Когалымский вестник"</t>
  </si>
  <si>
    <t xml:space="preserve">Март: Проведены мероприятие в рамках проекта "Живое слово". Остаток ассигнований - в сумме 38,8 тыс.руб. </t>
  </si>
  <si>
    <t>Мероприятие (результат) «Проведена оценка эффективности управления муниципальным имуществом города
Когалыма», всего, в том числе</t>
  </si>
  <si>
    <t>1.1.2.</t>
  </si>
  <si>
    <t>Мероприятие (результат) «Проведен ремонт, в том числе капитальный, муниципального имущества города Когалыма»</t>
  </si>
  <si>
    <r>
      <t xml:space="preserve">УпоЖП:
</t>
    </r>
    <r>
      <rPr>
        <sz val="12"/>
        <rFont val="Times New Roman"/>
        <family val="1"/>
        <charset val="204"/>
      </rPr>
      <t>Отклонение факта от плана реализации денежных средств сложилось ввиду командировок, переноса отпусков муниципальных служащих, выплатой разницы в должностных окладах при замещении начальника управления по жилищной политике Администрации города Когалыма.</t>
    </r>
  </si>
  <si>
    <t>привлеченные средства</t>
  </si>
  <si>
    <t xml:space="preserve">     Неосвоение плановых ассигнований обусловлено фактическим функционированием учреждения с 03.06.2025.</t>
  </si>
  <si>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 ведется выполнение работ, подрядчик проект направляет на государтсвенную экспертизу.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
- ведется выполнение работ, подрядчик проект направляет на государтсвенную экспертизу.Муниципальный контракт №0187300013724000024 от 26.03.2024 на выполнение работ по разработке проектно-сметной документации для выполнения капитального ремонта здания МАОУ СОШ №7 в городе Когалыме:
- цена контракта 2 345,11 тыс.рублей;
- срок выполнения работ - 15.11.2024;
- подрядчиком устраняются замечания по разработке проектно-сметной документации.</t>
  </si>
  <si>
    <t>1. На отчетную дату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из них:
1.1. Сроки выполнения работ:
- 1 этап ПИР – с даты заключения контракта по 31.08.2023 (на отчетную дату этап завершен); 
- 2 этап СМР – с 01.09.2023 по 10.12.2025, из них:
- охранно-спасательные археологические работы, строительно-монтажные работы, пусконаладочные работы и поставка и монтаж оборудования с 01.09.2022 по 01.12.2025;
- ввод объекта в эксплуатацию с 01.12.2025 по 10.12.2025.
1.2. Цена контракта 3 114 407,6 тыс. руб. из них:
- 1 этап ПИР – 34 981,9 тыс. руб. (на отчетную дату этап завершен);
- 2 этап СМР – 3 079 425,7 тыс. руб.
1.3. Проектно-изыскательские работы – готовность 100%, из них:
- положительное заключение государственной экспертизы результатов инженерных изысканий и проектной документации (без смет) от 23.12.2022 №86-1-1-3-091907-2022;
- положительное заключение государственной экспертизы о достоверности сметной стоимости строительства объекта от 22.11.2024 №86-1-1-2-069258-2024;
- выполнение проектно-изыскательских работ по 1 этапу контракта выполнено с нарушением сроков выполнения работ подрядной организацией, выставлено 12-ть претензий об уплате неустойки на общую сумму 11 731,48 тыс. руб.
1.4. Строительная готовность объекта 44%
1.5. Дата ввода объекта в эксплуатацию, согласно условий контракта - 10.12.2025.
2. Муниципальный контракт №Кг-38.22 от 12.04.2022 на технологическое присоединение к электрическим сетям на сумму 8,13 тыс. руб, срок оказания услуг 1 год. Исполнение контракта возможно после завершения строительства объекта.</t>
  </si>
  <si>
    <t xml:space="preserve">Неисполнение по расходам на оплату труда и начисления на оплату труда (наличие листов нетрудоспособности) и коммандировочным расходам. Перечисление ком-ых расходов происходит по факту, на основании предоставленного авансового отчета сотрудника. </t>
  </si>
  <si>
    <t>4.1.2. Капитальный ремонт МАДОУ "Цветик- семицветик", МАДОУ "Колокольчик" , МАОУ СОШ 7 в городе Когалыме</t>
  </si>
  <si>
    <t>Перечисление средств происходит по фактической потребности учреждени, согласно предоставленных счетов и актов выполненых работ</t>
  </si>
  <si>
    <t xml:space="preserve">Перечисление средств происходит по фактической потребности учреждени, согласно предоставленных счетов по организации питания.  </t>
  </si>
  <si>
    <t>Неисполнение связано перечислением средств согласно графика платежей, который формируется в системе ПФДО под фактические человеко-часы.</t>
  </si>
  <si>
    <t xml:space="preserve">Низкое исполнение связано с перечисление средств по фактической потребности учреждений. </t>
  </si>
  <si>
    <t>Низкое исполнение связано с перечисление средств по фактической потребности учреждений.  ОБ-питание детей в пришкольных лагерях, приобретение путевок, оплата услуги сопровождения детей и  оплата транспортных расходов сопровождающих; МБ питание детей в пришкольных лагерях (софинвнсирование), приобретение путевок (софинансирование).</t>
  </si>
  <si>
    <t xml:space="preserve"> </t>
  </si>
  <si>
    <t xml:space="preserve">В народной дружине на 01.07.2025 состоит 26 человек.
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</si>
  <si>
    <t xml:space="preserve">Неисполнение по заработной плате и начислениям по оплате труда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t>
  </si>
  <si>
    <t xml:space="preserve">Неисполнение по заработной плате и начислениям по оплате труда (предоставление листов временной нетрудоспособности,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Неисполнение по командировочным расходам образовалось в связи с переносом проведения мероприятия.
Неисполнение по прочим выплатам персоналу (гарантии) сложилось в связи с тем, что сотрудники за текущий период не воспользовались  правом на частичную компенсацию стоимости оздоровительных и санаторно-курортных путевок (оплата будет произведена в последующих месяцах).
</t>
  </si>
  <si>
    <t>ПК1.1 "Реализация инициативного проекта "Баскетбол для всех-движение вверх!"</t>
  </si>
  <si>
    <t>Неисполнение связано перечислением средств, согласно выставленных асетов и актов выполненных работ</t>
  </si>
  <si>
    <r>
      <t xml:space="preserve">Остаток плановых ассигнований cоставил: </t>
    </r>
    <r>
      <rPr>
        <b/>
        <sz val="12"/>
        <rFont val="Times New Roman"/>
        <family val="1"/>
        <charset val="204"/>
      </rPr>
      <t>486,49 тыс. руб.</t>
    </r>
    <r>
      <rPr>
        <sz val="12"/>
        <rFont val="Times New Roman"/>
        <family val="1"/>
        <charset val="204"/>
      </rPr>
      <t xml:space="preserve">:
1) </t>
    </r>
    <r>
      <rPr>
        <b/>
        <sz val="12"/>
        <rFont val="Times New Roman"/>
        <family val="1"/>
        <charset val="204"/>
      </rPr>
      <t>по бюджету г.Когалыма</t>
    </r>
    <r>
      <rPr>
        <sz val="12"/>
        <rFont val="Times New Roman"/>
        <family val="1"/>
        <charset val="204"/>
      </rPr>
      <t xml:space="preserve"> - 365,66 тыс. руб.                                                        - 318,65 тыс. руб. оплата труда гражданского персонала, начисления на выплаты по оплате труда (работники приняты не в запланированные даты и отработали не полный месяц);                                     - 47,01 тыс. руб. (возмещение работникам, связанных с прохождением первичного медосмотра). Остаток средств в связи с прохожденеим первичного медосмотра ранее.
2) </t>
    </r>
    <r>
      <rPr>
        <b/>
        <sz val="12"/>
        <rFont val="Times New Roman"/>
        <family val="1"/>
        <charset val="204"/>
      </rPr>
      <t>по бюджету автономного округа</t>
    </r>
    <r>
      <rPr>
        <sz val="12"/>
        <rFont val="Times New Roman"/>
        <family val="1"/>
        <charset val="204"/>
      </rPr>
      <t xml:space="preserve"> - 120,83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r>
  </si>
  <si>
    <r>
      <t>Остаток плановых ассигнований  составил</t>
    </r>
    <r>
      <rPr>
        <b/>
        <sz val="12"/>
        <rFont val="Times New Roman"/>
        <family val="1"/>
        <charset val="204"/>
      </rPr>
      <t xml:space="preserve"> 359,42</t>
    </r>
    <r>
      <rPr>
        <sz val="12"/>
        <rFont val="Times New Roman"/>
        <family val="1"/>
        <charset val="204"/>
      </rPr>
      <t xml:space="preserve"> тыс. руб.:                      1) по бюджету г.Когалыма - 266,26 тыс. руб.                              </t>
    </r>
    <r>
      <rPr>
        <b/>
        <sz val="12"/>
        <rFont val="Times New Roman"/>
        <family val="1"/>
        <charset val="204"/>
      </rPr>
      <t xml:space="preserve">                        </t>
    </r>
    <r>
      <rPr>
        <sz val="12"/>
        <rFont val="Times New Roman"/>
        <family val="1"/>
        <charset val="204"/>
      </rPr>
      <t>2)</t>
    </r>
    <r>
      <rPr>
        <b/>
        <sz val="12"/>
        <rFont val="Times New Roman"/>
        <family val="1"/>
        <charset val="204"/>
      </rPr>
      <t xml:space="preserve"> </t>
    </r>
    <r>
      <rPr>
        <sz val="12"/>
        <rFont val="Times New Roman"/>
        <family val="1"/>
        <charset val="204"/>
      </rPr>
      <t>по бюджету автономного округа - 93,16 тыс. рублей.</t>
    </r>
    <r>
      <rPr>
        <b/>
        <sz val="12"/>
        <rFont val="Times New Roman"/>
        <family val="1"/>
        <charset val="204"/>
      </rPr>
      <t xml:space="preserve">                                      </t>
    </r>
    <r>
      <rPr>
        <sz val="12"/>
        <color rgb="FFFF0000"/>
        <rFont val="Times New Roman"/>
        <family val="1"/>
        <charset val="204"/>
      </rPr>
      <t>Средства на охрану труда. будут израсходованы после поставки товара (спец. одежда, аптечка медицинская, журналы регистраций .</t>
    </r>
  </si>
  <si>
    <r>
      <t xml:space="preserve">Остаток плановых ассигнований           по бюджету автономного округа составил </t>
    </r>
    <r>
      <rPr>
        <b/>
        <sz val="12"/>
        <rFont val="Times New Roman"/>
        <family val="1"/>
        <charset val="204"/>
      </rPr>
      <t xml:space="preserve">12,06 тыс. руб. </t>
    </r>
    <r>
      <rPr>
        <sz val="12"/>
        <rFont val="Times New Roman"/>
        <family val="1"/>
        <charset val="204"/>
      </rPr>
      <t xml:space="preserve">                         </t>
    </r>
    <r>
      <rPr>
        <sz val="12"/>
        <color rgb="FFFF0000"/>
        <rFont val="Times New Roman"/>
        <family val="1"/>
        <charset val="204"/>
      </rPr>
      <t xml:space="preserve"> Остаток средств за фактически отработанное время.</t>
    </r>
  </si>
  <si>
    <r>
      <t xml:space="preserve">Остаток плановых ассигнований  по бюджету г.Когалыма составил </t>
    </r>
    <r>
      <rPr>
        <b/>
        <sz val="12"/>
        <rFont val="Times New Roman"/>
        <family val="1"/>
        <charset val="204"/>
      </rPr>
      <t xml:space="preserve">150,91 тыс. руб. </t>
    </r>
    <r>
      <rPr>
        <sz val="12"/>
        <rFont val="Times New Roman"/>
        <family val="1"/>
        <charset val="204"/>
      </rPr>
      <t xml:space="preserve"> </t>
    </r>
    <r>
      <rPr>
        <sz val="12"/>
        <color rgb="FFFF0000"/>
        <rFont val="Times New Roman"/>
        <family val="1"/>
        <charset val="204"/>
      </rPr>
      <t>Средства на охрану труда. будут израсходованы после потавки товара (спец. одежда).</t>
    </r>
  </si>
  <si>
    <r>
      <t>Остаток плановых ассигнований по бюджету автономного округа в сумме</t>
    </r>
    <r>
      <rPr>
        <b/>
        <sz val="12"/>
        <rFont val="Times New Roman"/>
        <family val="1"/>
        <charset val="204"/>
      </rPr>
      <t xml:space="preserve"> 130,43 тыс. рублей</t>
    </r>
    <r>
      <rPr>
        <sz val="12"/>
        <rFont val="Times New Roman"/>
        <family val="1"/>
        <charset val="204"/>
      </rPr>
      <t xml:space="preserve">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t>
    </r>
    <r>
      <rPr>
        <sz val="12"/>
        <color rgb="FFFF0000"/>
        <rFont val="Times New Roman"/>
        <family val="1"/>
        <charset val="204"/>
      </rPr>
      <t xml:space="preserve"> 475</t>
    </r>
    <r>
      <rPr>
        <sz val="12"/>
        <rFont val="Times New Roman"/>
        <family val="1"/>
        <charset val="204"/>
      </rPr>
      <t xml:space="preserve"> устных и 1 письменное обращение,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r>
  </si>
  <si>
    <t>бюджет  города Когалыма</t>
  </si>
  <si>
    <t xml:space="preserve">Оплата за статистические сборники производится согласно выставленным счетам (учитывая фактические сроки поступления статистической информации). 
 </t>
  </si>
  <si>
    <t xml:space="preserve">1. В связи с введением с 01.01.2025 г. новой системы подачи заявок и проведения отбора в государственной интегрированной информационной системе управления общественными финансами «Электронный бюджет» (ГИИС «Электронный бюджет»)в соответствии с постановление Правительства РФ от 25.10.2023 №1782,  доведение плановых ассигнований до получателей планируется в июле 2025 г.
2. На основании Постановления Администрации города Когалыма от 10.07.2025 № 1523 плановые асигнования в сумме 624,0 тыс.руб. доведены до получателя.
3. 7,6 тыс.руб. доведены до сотрудника, осуществляющего администрирование.
</t>
  </si>
  <si>
    <t xml:space="preserve">1. В связи с введением с 01.01.2025 г. новой системы подачи заявок и проведения отбора в государственной интегрированной информационной системе управления общественными финансами «Электронный бюджет» (ГИИС «Электронный бюджет»)в соответствии с постановление Правительства РФ от 25.10.2023 №1782,  доведение плановых ассигнований до получателей планируется в июле 2025 г.
2. На основании Постановления Администрации города Когалыма от 10.07.2025 № 1524 плановые асигнования в сумме 90,0 тыс.руб. доведены до получателя.
3. Отбор получателей субсидий на возмещение затрат, связанных с реализацией произведенной сельскохозяйственной продукции, в том числе в части расходов по аренде торговых мест (апрель 2025 - июнь 2025) признан несостоявшимся по причине отсутствия поданных заявок. Заявки не поданы в виду отсутствия реализации произведенной сельскохозяйственной продукции на торговых местах в ТЦ "Семейный" в заявленный период, возмещение затрат на аренду вышеуказанных торговых мест, в соответствии с Порядком предоставления муниципальной финансовой поддержки развития сельскохозяйственного производства в городе Когалыме, утвержденного постановлением Администрации города Когалыма от 27.04.2021 №890, не осуществляется.
</t>
  </si>
  <si>
    <t>Отклонение возникло в размере: 28,18 т.р. в связи с отсутствием документов на оплату</t>
  </si>
  <si>
    <t>Оплата и кассовый расход связан с поступлением средств от ПД.</t>
  </si>
  <si>
    <t>Остаток средств в сумме 134,2 т.руб.- в т.ч. Приобретение ОС - 134,20 т.руб.,оплата по факту на основании документов на оплату и товарных накладных, средства будут использованы в июле.</t>
  </si>
  <si>
    <t xml:space="preserve"> "Управление муниципальным имуществом города Когалыма" </t>
  </si>
  <si>
    <t xml:space="preserve">     Оплата за коммунальные  услуги, содержание нежилых помещений, содержание пустующего муниципального жилищного фонда, а также компенсация выпадающих доходов организациям, в связи с оказанием услуг по содержанию муниципального жилищного фонда в городе Когалыме, произведены за фактически оказанные услуги на основании актов приемки оказанных услуг и счетов.</t>
  </si>
  <si>
    <t xml:space="preserve">      Неосвоение плановых ассигнований обусловлено нахождением работников на больничных и наличием вакантных ставок (специалист по закупкам, уборщик служебных помещений, уборщик территории, маляр, токарь, столяр, электрогазосварщик, подсобный рабочий).      </t>
  </si>
  <si>
    <t>исполнитель: главный специалист ОФЭОиК</t>
  </si>
  <si>
    <t>Евдокимова Е.В. тел. 93-783</t>
  </si>
  <si>
    <t>2025 год</t>
  </si>
  <si>
    <t xml:space="preserve">отклонение плановых от фактических показателей составило 294,00 рублей </t>
  </si>
  <si>
    <t>Волонтёры Победы в День Государственного флага Российской Федерации раздавали прохожим и участникам городских праздничных мероприятий ленты триколор, как главный символ Государственного праздника. https://vk.com/wall-37471708_6714</t>
  </si>
  <si>
    <t>09.05.2025 В рамках празднования 50-летия Победы МАУ "МКЦ "Феникс" была организована работа нескольких площадок:
- «Вахта Памяти», воспитанники ВПК «Возрождение» и СПК «Юнармеец» в течение праздничного дня стояли  в почётном карауле у вечного огня.
- Организация тематической площадки «Исторический маршрут «Навстречу Победы»
Участники площадки вспомнили ключевые события и битвы Великой Отечественной войны,  услышали голос Победы - Юрия Борисовича Левитана, вещающего об окончании Войны и подписании Акта о безоговорочной капитуляции фашистской Германии и посмотрели документальную хронику водружения знамени Победы. Самые активные и любознательные смогли проявить себя на интерактивных площадках:  разгадать кроссворд о Городах-героях, попробовать себя в качестве связиста и расшифровать сообщения с помощью азбуки Морзе.
- Творческий мастер-класс «Брошь «Победа»
Для юных жителей города была организована творческая площадка, где они своими руками делали брошь, посвящённую празднику Победы..
- Площадка «Оружие Победы»
С помощью игры от активиста Движения Первых,  познакомились с оружием, используемым в период Великой Отечественной войны, а воспитанники СПК "Юнармеец" МЦ»Феникс» знакомили участников площадки с современным оружием - автоматом Калашникова. Все желающие смогли попробовать угадать правильное название его деталей, а также разобрать и собрать его.
-участие в акции «Бессмертный полк»
В акции «Бессмертный полк» активно участвовали воспитанники ВПК «Возрождение», которые с гордостью несли растяжку, символизирующую память о героях. Волонтёры Победы также сыграли важную роль, создавая ограничения в движении и обеспечивая безопасность граждан во время проведения этого значимого события. 12.06.2025 в рамках празднования Дня России молодежным центром был организован городской велопробег, протянувшийся на расстояние от молодежного центра до железно-дорожного вокзала и обратно. Перед стартом участники получили памятные ленты в цветах триколора и флаги Российской Федерации (охват 200 чел.)
https://vk.com/wall-37471708_6497
https://vk.com/wall-37471708_650</t>
  </si>
  <si>
    <t>В соответствии с решением Думы города Когалыма от 18.06.2025 №541-ГД внесены изменения (сентябрь) с увеличением финансирования  "Феникс"  (выделение на игровой комплекс Гранскат SDM-014,  2,45 тыс.руб. и ремонтные работы по замене облицовочной плитики на объекте Парк Победы в сумме 12391,30 тыс.руб).</t>
  </si>
  <si>
    <t>600,00 тыс. не раализовано по причине  подготовки к проведению конкурса молодёжных инициатив города Когалыма на электронной площадке в ГИИС "Электронный бюджет". В соответствии с постановлением Администрации города Когалыма от 27.06.2025 №1453 прием заявок стартовал 05.09.2025 и продлится до 08.10.2025.</t>
  </si>
  <si>
    <t>28.06.2025 Молодёжным центром  на Центральной площади для молодёжи города была организована работа тематических площадок - "Молодёжь в творчестве", "ЛитМол", "Юнармейская карусель", "Открытка на память", "Кубик- Рубика", "Дворовые игры", "Мастер-класс «Мишка талисман», "Аквагрим", "Витамин за никотин", "Настольные игры от Клуба настольных игр "Games &amp; Co", Мастер-класс «Проращивание», "Интерактивная игра «Я беру с собой в поход» (охват 300 чел).
В завершении программы от Молодёжного центра состоялось награждение активной молодёжи города и общественных организаций и движений сделавших значимы вклад в развитие молодёжной политики на территории города Когалыма.09.07.2025 специалисты Молодёжного центра «Феникс» приняли участие во Всероссийской акции Федерального подросткового центра #ДарюТепло.В рамках акции специалисты Центра посетили трудовые бригады и рассказали ребятам о молодёжных пространствах «Феникса», а также о работе пространств Добро.центра «Навигатор добра» и Движения Первых в Когалыме, раздали листовки с кьюар-кодами на социальные сети центра.
28-29.08.2025 организованы и проведены мероприятия, направленные на организацию участия молодёжи в грантовых конкурсах «Росмолодёжь.Гранты» и развитие навыков проектирования и реализации молодёжных инициатив - двухдневный грантовый интенсив «Молодёжь в теме.Гранты» (охват 69 чел.). .</t>
  </si>
  <si>
    <t xml:space="preserve">В течение трёх месяцев: в июне, июле и в августе были организованы Дни семейного отдыха. Дислокацией Дней семейного отдыха стала территория Молодёжного центра «Феникс». Для родителей и детей была организована развлекательная программа, работа площадок спортивной и творческой направленности.  Общий охват по итогам проведения Дней семейного отдыха составил 555 человек.В летний период 2025 года МАУ «Молодёжный комплексный центр «Феникс» была организована работа 4 летних досуговых площадок в разных микрорайонах города (июнь – 2 площадки, июль, август – по одной площадке).
Площадки работали три дня в неделю с 16.00 до 19.30 часов. Работа площадок осуществлялась по следующим адресам: 
1. ул. Прибалтийская, 43 (сквер «Югорочка») - июнь
2. Рябиновый бульвар (площадка «Нефтеград») – июнь
3. Набережная р. Ингу-Ягун - июль
4. Зона отдыха по ул. Сибирская (Парк Победы)- август 
На площадках были реализованы досуговые программы 4-х тематических направлений:
«Возьмемся за руки, друзья!» (профилактика экстремизма) - июнь
«Все профессии важны - все профессии нужны!» (профориентация) - июнь
«Моя семья-моё богатство» (духовно-нравственное) - июль
«Патриотизм начинается с меня!» (гражданско-патриотическое) – август
На каждой площадке работал 1 специалист по работе с молодёжью.
Охват составил 1638 детей и  подростков.
</t>
  </si>
  <si>
    <t xml:space="preserve">В соответствии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конкурс на прием заявок стартовал 08.08.2025. Финансовые средства будут исполнены после заключения соглашений с победителем (-ями) конкурса.
</t>
  </si>
  <si>
    <t xml:space="preserve">Отклонение возникло в размере:
- 2375,67т.р -по оплате труда и начисления (наличие больничных листов, а также ср-ва по начислению на ЗП не востребовались, средства будут освоены в течение 2025 году)
- 24,26т.р.- услуги связи (в учреждении действует режим экономиии на телефонную связь)                                 - 265,33т.р.-по коммунальным услугам (фактические показания счетчиков);
- 77,92т.р.-по работам и услугам по содержанию имущества (остаток средств по контрактам: на тех. обслуживание,содержание,тек. ремонт жил. фонда. А так же экономия по процедуре котировок. Будет освоен в течение 2025г.)
-0,30т.р.- страхование (экономия, при заключении конракта)
- 94,34т.р.- прочие работы, услуги (остаток средств на: физ. охрану объекта, командировочные расходы, подписку на периодические издания будет освоен в течение 2025г.)
- 70,45т.р.-увеличение стоимости прочих материальных запасов (остаток средств. в связи с отсутствием документов на оплату будет освоен в течение 2025г.)
- 89,35 т.р. -увеличение стоимости основных средств (экономия по процедуре котировок за приобретение МФУ 3 шт.)
-102,03 т.р.-социальные компенсации персоналу в натуральной форме (больничные и санаторно-курортные путевки. Остаток средств будет освоен в течение 2025г.)  
- 153,35 т.р.-прочие несоциальные выплаты персоналу в натуральной форме (Суточные и льготный проезд, остаток средств будет освоен в течение 2025г.)                                                                                                                                                                                                                                                                                                                                                                                                                                                                                                                                                                                                                                                                                                                                                                                                                                                                                         </t>
  </si>
  <si>
    <t>Остаток средств в сумме 314,7 т.руб.- в т.ч. Приобретение ОС .,оплата по факту на основании документов на оплату и товарных накладных, средства будут использованы в сентябре.</t>
  </si>
  <si>
    <t>Остаток средств в сумме 75,6 т.руб.-  прочие услуги оплата по факту на основании документов на оплату,  акта выполненных работ, средства будут использованы в сентябре.</t>
  </si>
  <si>
    <t>Остаток средств в сумме 141,440 т.руб.- в т.ч. транспортные расходы - 120,0 руб.,   канцелярские товары - 19,340 т.руб., прочее приобретение - 2,1 т.руб. оплата по факту на основании документов на оплату,  акта выполненных работ, средства будут использованы в сентябре.</t>
  </si>
  <si>
    <t>Остаток средств в сумме 7 357,427 т.руб., в т.ч.  остаток по  выплате заработной платы и соц.выплат   - 3 779,006  т.р. , начисл. на зар.плату - 1 608,928 т.руб., оплаты за коммунальные услуги по фактическим расходам и показаниям счетчиков- 658,995 т.р.,оплаты за содержание здания по факту предоставленных документов на оплату от поставщика - 489,975т.руб., оплата услуг связи - 69,251 т.руб., оплата б/л за счет ср-в работод -140,758  т.руб.оплаты налога на имущество - 415,957 т.руб.оплата командировочных- 17,260 т.руб., оплата проезда в отпуск и обратно - 156,297 т.руб.,сан.кур.-21,0 т.руб.</t>
  </si>
  <si>
    <t>АРТ - Отклонение 8,800руб. - экономия по костюмам: приобретены утепленные костюмы - 4 комплекта (куртка, брюки, шапка)                                                                                                      МВЦ - Остаток средств в сумме 60,0 т.руб.- в т.ч.  прочее приобретение, оплата по факту на основании документов на оплату,  акта выполненных работ, средства будут использованы в сентябре.</t>
  </si>
  <si>
    <t>1. Муниципальный контракт №0187300013723000018 от 16.03.2023 на выполнение проектно-изыскательских работ на строительство объекта: "Велосипедная дорожка от комплекса зданий по улице Янтарная, дом 10 до автобусной остановки, расположенной в районе улицы Дружбы народов, 41" 
- цена контракта  965,47 тыс. руб.,
- срок окончания выполнения работ 07.08.2023
- произведена приемка фактически выполненных работ (за исключением прохождения государственной экспертизы), контракт расторгнут..
2. Муниципальный контракт №0187300013723000267 от 28.08.2023 на выполнение проектно-изыскательских работ на строительство объекта :"Велосипедная дорожка от БУ "Когалымский политехнический колледж" до Лыжной базы в г.Когалым"
- цена контракта  1 884,23 тыс. руб., 
- срок окончания выполнения работ 30.11.2023
- произведена приемка фактически выполненных работ (за исключением прохождения государственной экспертизы), контракт расторгнут..
3. Муниципальный контракт 49/2025 от 04.08.2025 на оказание услуг по проведению негосударственной экспертизы проверки достоверности сметной стоимости по объекту: выполнение проектно-изыскательских работ на строительство объекта : "Велосипедная дорожка от комплекса зданий по улице Янтарная, дом 10 до автобусной остановки, расположенной в районе улицы Дружбы Народов д.41":
- цена контракта 77 720,40 рублей;
- срок выполнения работ по 15.08.2025;
4. Муниципальный контракт 52/2025 от 05.08.2025 на оказание услуг по проведению негосударственной экспертизы проверки достоверности сметной стоимости объекта: "Велосипедная дорожка от БУ "Когалымский политехнический колледж" до Лыжной базы в г.Когалым"
- цена контракта - 122 407,70 рублей;
- сроки выполнения работ по 18.08.2025.</t>
  </si>
  <si>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-95 :   22 очных, 35 по телефо-ну, 38 . ИТОГО: 95; Март -79:  – 19 очных, 31 по телефону, 29 – электронная почта и мессенджеры; апрель -52: май: 36; июнь -65. июль - 45 , август -46 (по вопросам реализации проектов и участия в мероприятиях в сфере межнациональных (межэтнических) отношений, профилактики экстремизма –8 очных, 15 по телефону, 23 – электронная почта и мессенджеры), сентябрь: 56 (11 очных, 16 по телефону, 29 – электронная почта и мессенджеры) ИТОГО: 545.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                                                                                                                                                                                                                                                                                        На второй конкурс Гранта Губернатора Югры2025 года  были поданы про-екты от АНО «ТОС ПРИПОЛЯРНЫЙ», АНО «ДА.БРО», АНО «Алые Паруса», МОО «Курултай (собрание) башкир Когалыма», АНО «Ермак», АНО «Ресурсный центр поддержки НКО города Когалыма», КГТБОО «НУР». На ПФКИ было подано 4 проекта. Ведутся консультации по конкурсу на грантовый конкурс в сфере культуры, искусства и креативных индустрий.</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16.05.2025 состоялся «Круглый стол» по вопросам взаимодей-ствия национально-культурных обществ, органов власти и системы здравоохранения;                                                                                                    -05.06.2025 сотрудники РЦ НКО приняли участие в онлайн-марафоне ля специалистов и руководителей НКО.  
-16.06.2025 специалисты РЦ провели Школу актива НКО по грантовым заявкам конкурс на Грант Губернатора Югры. 16.05.2025 состоялся «Круглый стол» по вопросам взаимодей-ствия национально-культурных обществ, органов власти и системы здравоохранения.                                                                                                                                                                                                                                                                     - 16.08.2025 специалисты РЦ приняли участие в организации и проведе-ние праздничного события открытия парка Дружбы в г. Когалыме. 
- 03.09.2025 специалисты РЦ приняли участие в ежегодном мероприя-тии, посвященном Дню солидарности в борьбе с терроризмом.
-11.09.2025 команда РЦ приняла участие в роли спикеров на Всерос-сийский Форум развития гражданского общества «Добрино». Провели полезную программу для участников на тему патриотизма, противо-действия экстремизму и терроризму в жизни и социальных сетях. 
- 20.09.2025 На базе РЦ прошло мероприятие с привлечением спикеров «Открытые НКО» из г. Когалыма
- 21.09.2025 Специалисты РЦ посетили открытие «Сквера вблизи СК «Олимп», победителя Регионального конкурса инициативных проектов 2025 года в Югре. Команда РЦ выступила в роли инициативной группы по созданию данного проекта.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  «Урок вежливости» для мигрантов прошел 27.06. Даны разъяснения по личному запросу от лидеров национально-культурных объединений города Когалыма;                                                                            -«Урок вежливости» для мигрантов прошел 09.07. Даны разъяснения по личному запросу от лидеров национально-культурных объединений города Когалыма.
-«Урок вежливости» для мигрантов прошел 27.08. Даны разъяснения по личному запросу от лидеров национально-культурных объединений города Когалыма.                                                                           «Урок вежливости» для мигрантов 24.09.2025 с привлечением представителей  УСЗНОиП по г. Когалыму 
«Урок вежливости» для мигрантов прошел 24.09.2025.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В июне проведено 2 индивидуальное и 1 групповое занятие по РКИ (русский как иностранный) для взрослых. За отчетный период проведено 3 обучающих занятий по РКИ (русский как иностранный) для групп детей-школьников. Занятия проходят на базе АНО «РЦ НКО Когалыма. Пр. Нефтяников 2а. Индивидуальные занятия проходят по сколь-зящему графику.                                                                                                                                                    В июле - проведено 3 индивидуальных занятия по РКИ для взрослых; проведено 7 индивидуальных занятий с детьми - иностранными гражданами, прожи-вающими в городе Когалым по РКИ . В августе проведено 3 индивидуальных занятия по РКИ для взрослых. За отчетный период проведено 8 групповых и 11 индивидуальных занятий с детьми - иностранными гражданами, проживающими в городе Когалым по РКИ.       В сентябре проведено 2 индивидуальных занятия по РКИ (русский как иностранный) и одно групповое занятие для взрослых. За от-четный период проведено 6 групповых и 17 индивидуальных занятий с детьми - иностранными гражданами, проживающими в городе Когалым по РКИ (русский как иностранный). 
5) Публикации : январь -18, февраль -14, март-15 , апрель -  24, май- 22,июнь - 16 , июль -8  публикаций на различных площадках, август -  размещено 17 публикаций на различных площадках, сентябрь -27 публикаций на различных площадках. Всего -161.  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15.05.2025 с привлечением спикера Лучкиной О.М.; «Школа актива НКО» состоялась 16.06.2025
    -14.08.2025 состоялпась онлайн «Школа актива НКО» с привлечением спикеров А.А.Спасибина и директора проектного офиса ПФКИ г. Ханты-Мансийска М.В.Дмитриевой.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</si>
  <si>
    <t xml:space="preserve">Экономия средств в сумме 1848,48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</si>
  <si>
    <t>остаток денежных средств 215,5000 рублей сложился по фактическим выплатам мер (всего  предоставлена мера поддержки 13  гражданам, удостоенным звания "Почетный гражданин города Когалыма", в 2025 году ) в соответсвии с распоряжением Администрации города Когалыма от 28.07.2025 №127-р.</t>
  </si>
  <si>
    <t>Договор заключен, оплата будет после поставки товара.</t>
  </si>
  <si>
    <t xml:space="preserve">Муниципальный контракт № 0187300013725000031 от 04.04.2025 на выполнение работ по монтажу системы видеонаблюдения на объекте "Зона отдыха по улице Сибирская в городе Когалыме"
- цена контракта: 938,07 тыс.руб.
- сроки выполнения работ: 30.06.2025
- работы на объекте не ведутся 
- 26.08.2025 г. расторгнут контракт. </t>
  </si>
  <si>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 Проведено 6 игр в лазертаг: 3.06, 19.06, 25.06 на территории центра организовано 3 игры с использованием лазертаг-оборудования для курсантов ВПК "Возрождение" (13 чел.), воспитанников пришкольного лагеря МАОУ «СОШ №6 (67 чел) и  МОО «КФК» киокусинкай каратэ (14 чел.); общий охват – 94 чел.: 01.07. 07 -15.07.2025  на территории центра организованы игры с использованием лазертаг-оборудования, воспитанников спортивного лагеря "Спартак" (25 чел.), пришкольных лагерей МАОУ «СОШ №3 (40 чел.) и МАОУ СОШ №7 (99 чел)..</t>
  </si>
  <si>
    <t xml:space="preserve">     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г.Когалым ул. Бакинская, дом - цена контракта: 21 821,50 тыс.руб. Работы выполнены и оплачены в полном объеме.
     2.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Работы выполнены и оплачены в полном объеме.
     3.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Работы выполнены и оплачены в полном объеме.
     4.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Работы выполнены и оплачены в полном объеме.
     5.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Работы выполнены и оплачены в полном объеме.
     6. МК № 12/2025 от 04.04.2025 на выполнение работ по монтажу локально вычислительной сети и настройки сетевого, серверного оборудования, а также аналоговой телефонной станции. Цена контракта: 282,09 тыс.руб. Работы выполнены и оплачены в полном объеме.
     7. МК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3 467,41 тыс.руб.. Сроки выполнения работ: 30.09.2025. Ведется выполнение работ.
     8. МК № 0187300013725000017 от 24.03.2025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4 800,40 тыс. руб. Работы выполнены и оплачены в полном объеме.
     9. МК № 0187300013725000004 от 03.03.2025 на выполнение работ по замене оконных блоков в здании Администрации города Когалыма, расположенном по адресу: город Когалым, улица Дружбы Народов дом 7. Цена контракта: 6 245 276,41 руб.. Срок выполнения работ: 25.08.2025. Работы выполнены и оплачены в полном объеме. 
     10.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Контракт расторгнут в одностороннем порядке 11.03.2025.
     11. МК №0187300013725000111 от 17.06.2025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на сумму 2 625,08 тыс.руб. Срок выполнения работ по 26.11.2025. Подрядная организация - ООО "Формула инновационного проектирования". Работы по контракту на отчетную дату ведутся.
     12. МК № 0187300013725000019 от 08.04.2025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1 306,75. тыс.руб. Работы приняты и оплачены в полном объеме.
     13. МК 30/2025 от 16.06.2025 на выполнение ремонтных работ жилого помещения, находящегося в муниципальной собственности, расположенного по адресу: город Когалым, улица Мира дом 46, квартира 39 на сумму цена контракта - 539,95139 тыс. руб. Срок выполнения работ по 01.07.2025. Подрядчик ИП Горан А.М.Работы выполнены и оплачены в полном объеме.
     14. МК №31/2025 от 20.06.2025 на выполнение отделочных работ в рамках ремонта жилого помещения, находящегося в муниципальной собственности, расположенного по адресу: г.Когалым, ул.Мира д.46, кв.39 на сумму 328,34592 тыс. руб. Срок выполнения работ по 31.07.2025. Подрядчик ИП Горан А.М. Работы выполнены и оплачены в полном объеме.
     15. МК №32/2025 от 20.06.20205 на выполнение электромонтажных и сантехнических работ в рамках ремонта жилого помещения, находящегося в муниципальной собственности, расположенного по адресу: г.Когалым, ул.Мира д.46 кв.39 на сумму 261,99183 тыс.руб. Срок выполнения работ по 31.07.2025. Подрядчик ИП Горан А.М. Работы выполнены и оплачены в полном объеме.
     16. МК № 35/2025 от 01.07.2025 на выполнение отделочных работ в рамках ремонта жилого помещения, находящегося в муниципальной собственности, расположенного по адресу: г.Когалым, ул.Северная д.3, кв.20 на сумму 572,61816 тыс.руб. Срок выполнения работ по 08.07.2025. Подрядчик ИП Горан А.М. Работы выполнены и оплачены в полном объеме.
     17. МК №36/2025 от 01.07.2025 на выполнение работ по ремонту жилого помещения, находящегося в муниципальной собственности, расположенного по адресу: г.Когалым, ул.Северная д.3, кв.20. на сумму 384,68255 тыс.руб. Срок выполнения работ по 08.07.2025. Подрядчик ИП Горан А.М. Работы выполнены и оплачены в полном объеме.
     18. Муниципальный контракт № 0187300013725000188 от 26.08.2025 Выполнение работ по ремонту жилого помещения, находящегося в муниципальной собственности, расположенном по адресу: город Когалым, улица Привокзальная, дом 5А, квартира 1. Цена контракта - 2 053,17636 тыс. рублей; сроки выполнения работ по 28.10.2025. Подрядчик ООО "Мегапласт"; работы выполняются. 
     19. Муниципальный контракт № 0187300013725000203 от 19.09.2025 на выполнение работ по ремонту жилого помещения, находящегося в муниципальной собственности, расположенном по адресу: город Когалым, улица Молодежная, дом 7, квартира 36. Цена контракта - 1 061,16966 тыс. рублей; сроки выполнения работ по 17.11.2025; подрядчик ООО "Мегапласт", работы выполняются.
     20. Контракт № 2/Р от 04.04.2025 ( функции заказчика переданы 07.04.2025) на выполнение работ по ремонту здания, находящегося в муниципальной собственности, расположенного по адресу: г.Когалым, ул.Янтарная, 10 на сумму 10 000,0 тыс.рублей ( перечислен аванс в размере 30%). Срок выполнения работ: 31.10.2025. Ведется выполнение работ. Подрядчик ООО "НЕМО". 
     21. Контракт № 4/Р от 04.04.2025 ( функции заказчика переданы 07.04.2025) на  выполнение работ по капитальному ремонту комплекса зданий, находящихся в муниципальной собственности, расположенных по адресу: г. Когалым, улица Югорская, 3 на сумму 10 000,0 тыс.рублей ( перечислен аванс в размере 30%). Срок выполнения работ: 31.10.2025. Работы выполнены и оплачены в полном объеме.
     22. МК № 0187300013725000122 от 30.06.2025 на выполнение работ по ремонту кабинетов в здании Администрации города Когалыма, расположенном по адресу: г.Когалым, ул.Дружбы народов, 7 на сумму  1 313,43470 тыс. руб. Срок выполнения работ по 30.09.2025. Подрядная организация - ООО «Мегапласт». Работы выполнены и оплачены в полном объеме.
     23. МК № 0187300013725000183 от 16.08.2025 на выполнение работ по разработке проектной документации для выполнения капитального ремонта здания МКУ "ЕДДС города Когалыма", расположенного по адресу: город Когалым, улица Молодежная, дом 10/2: Цена контракта 1 129,0 тыс. руб.; сроки выполнения работ по 24.12.2025; подрядная организация - ООО «СК "Проектстрой».
     24. МК №67/2025 от 05.09.2025 на оказание услугпо разработке проектной документации. Цена контракта 1 313,43470 тыс. руб.; сроки выполнения работ по 30.09.2025; подрядная организация - ООО «Мегапласт»; работы выполнены и оплачены в полном объеме.</t>
  </si>
  <si>
    <t xml:space="preserve">     Невостребованные плановые ассигнования обусловлены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 а также компенсацией стоимости санаторно-курортных путевок и проезда к месту лечения и обратно на основании фактически предоставленных документов.</t>
  </si>
  <si>
    <t>Остаток плана на 01.10.2025г. составляет 8721,20 тыс.руб., в том числе:                                                                                                                                                                                                                                                                                                                          1) 4102,78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проезд в отпуск и обратно, первичный медосмотр, командировочные расходы;
2) 448,52 тыс.руб. - в связи с фактическими расходами на услуги связи;
3) 2172,31 тыс.руб. -  в связи с фактическими расходами на оплату коммунальных услуг согласно показаниям приборов учета;
4) 1184,68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508,43 тыс.руб., в том числе:                                                                                                                                                                                                                                                                                                                                                   -452,82 тыс.руб.-экономия по торгам (оказание услуг по продлению лицензии антивирусного программного обеспечения Kaspersky Endpoint Security, предоставление права использования и абонентское обслуживание  Системы "Контур-Экстерн"), оказание проектно-сметной документации на систему видеонаблюдения зд.Администрации г.Когалыма (ул.Др.Н.,7);
- 55,61 тыс.руб. - исследование проб сточных вод с контрольных точек для их отбора, с целью подачи деклараций по объектам (оплпта по факту, октябрь 2025 г.);
6) 81,67 тыс. руб. - по факту начисления налога на имущество;
7) 222,81 тыс. руб. - по факту поставки товара (октябрь 2025 г.).</t>
  </si>
  <si>
    <t xml:space="preserve">Отклонение от плана составляет 7600,4 тыс.руб. в том числе:
1.  903,7 тыс. руб - неисполнение субсидии возникло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2. 103,3 тыс.руб.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3. 94,6 тыс.руб. неисполнение субсидии возникло по статье прочие выплаты в связи  оплатой возмещение работникам (сотрудникам) расходов, связанных со служебными командировками по фактической потребности                                                                                                                                                                                                                                                     
4. 985,4 тыс.руб. неисполнение субсидии по статье прочие работы, услуги возникла в связи с оказанием услуг по обслуживанию программных продуктов, так как оплата произведена по факту оказанных услуг, на основании выставленных документов                                                                                                                                                                                                                                                                                            5. 175,00 тыс.руб. неисполнение субсидии по статье  налоги, пошлины и сборы, оплата будет произведена согласно деклараций.
6. 87,9 тыс. руб.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7. 57,3 тыс.руб.- неисполнение субсидии по статье арендная плата за пользованием имуществом возникло в связи с оплатай по фактически выставленным счетам.                                                                                                                                                                                                                                                                                    8. 3548,2 тыс.руб. -  неисполнение субсидии по статье  увеличение стоимости прочих материальных запасов, в связи  с оплатой за фактические объемы приобретения.
9. 101,2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10. 1543,8 тыс.руб. неисполнение субсидии возникло по статье горюче- смазочные материалы в связи  оплатой расходов по фактической потребности в следующем периоде.           </t>
  </si>
  <si>
    <t>Отклонение от плана составляет 2853,3 тыс.руб. в том числе:
1. 349,8 тыс. 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2. 5,8 тыс. руб. не исполнение субсидии по статье суточные расходы возникло в связи с сокращением количества командировок.                                                                                                                                                                                                                                                                       3. 13,6 тыс. руб. не исполнение по статье услуги связи возникло в связи с оплатой услуг по факту.                                                                                                                                                                                                                                                                                                                                               4. 22,0 тыс. руб. не исполнение по статье тех.обслуживания вычислительной техники возникло в связи с оплатой услуг по факту.
5. 1063,2 тыс.руб неисполнение субсидии по статье прочие работы и услуги с оплатой услуг по факту предоставления документов.
6 . 82,3 тыс. руб.  неисполнение субсидии на приобретение основных средств  возникло в связи с оплатой по факту приобретения согласно выставленных счетов.                                                                                                                                                                                                 7. 20,1 тыс. руб.  неисполнение субсидии на приобретение лекарственных препаратов и материалов возникло в связи с оплатой по факту приобретения согласно выставленных счетов.
 8. 63,4 тыс.руб неисполнении субсидии по статье по уплате налогов произошло по причине уплаты согласно деклараций.                                                                                                                                                                                                                                                                                     9. 392,2 тыс.руб. неисполнение субсидии возникло по статье горюче- смазочные материалы в связи  оплатой расходов по фактической потребности в следующем периоде.                                                                                                                                                                            10. 360,9 тыс.руб. -  неисполнение субсидии по статье  увеличение стоимости прочих материальных запасов, в связи  с оплатой за фактические объемы приобретения.                                                                                                                                                                                    11. 49,4 тыс. руб. неисполнение субсидии по статье страхование возникло  в результате  оплаты по факту оказанных услуг, на основании выставленных документов</t>
  </si>
  <si>
    <t>1. Муниципральный контракт 0187300013725000124 от 23.06.2025 на выполнение работ по обустройству сетей наружного освещения по проезду Солнечный, дом №15, дом №17 на территории города Когалыма
- цена контракта -  1 390,41649 тыс. руб.
- сроки выполнения работ по 15.08.2025
- контракт расторгнут 21.08.2025, объем выполненных и оплаченных работ 1 355,60916 тыс. руб.
2. Электронный конкурс № 0187300013725000123 на выполнение работ по благоустройству автомобильного проезда от проспекта Солнечный, дом 15 до торгового центра в 10 микрорайоне города Когалыма на сумму 7 672,80 тыс. руб., не состоялся в связи с отсутствием участников
3. Муниципальный контракт № 0187300013725000144 от 25.06.2025 на выполнение работ по благоустройству автомобильного проезда от проспекта Солнечный, дом 15 до торгового центра в 10 микрорайоне города Когалыма;
- цена контракта 9 998,36 тыс.руб;
- срок выполнения работ :08.10.2025. Работы выполнены и оплачены со снижением стоимости, в связи с изменением объемов работ. Конракт расторгнут по соглашению сторон.                                         4.Муниципальный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 работы выполнены и оплачены в полном объеме
5.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
- работы выполнены и оплачены в полном объеме
6. Муниципальный контракт Кг-186.25 от 11.08.2025 на технологическое присоединение энергопринимающих устройств.
- цена контракта - 4 346,55 тыс. руб.
- сроки выполнения работ по 11.12.2025</t>
  </si>
  <si>
    <t>Заключены МК:
- на подготовку Конкурсной заявки 
на участие во Всероссийском конкурсе лучших проектов создания комфортной городской среды в категории «Малые города и исторические поселения» с проектом благоустройства «Этнодеревня в городе Когалыме» (IV этап). Цена контракта - 4 500,0 тыс.руб. Проведена оплата аванса в размере 1 800,0 тыс.руб.
- на разработку проектно-сметной документации
на участие во Всероссийском конкурсе лучших проектов создания комфортной городской среды в категории «Малые города и исторические поселения» с проектом благоустройства «Этнодеревня в городе Когалыме» (IV этап). Цена контракта - 5 500,0 тыс.руб.</t>
  </si>
  <si>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
4. Размещен электронный аукцион извещение № 0187300013725000192 от 01.08.2025 на снос дома по адресу г Когалым, ул Фестивальная д. 13.
4. Заключение иных контрактов на остаток плановых ассигнований планируется в сентябре-октябре 2025 после судебных разбирательств по выселению жильцов из аварийного и непригодного жилья</t>
    </r>
  </si>
  <si>
    <t>Мероприятие (результат) «Предоставлены субсидии участникам специальной военной операции, членам их семей, 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t>
  </si>
  <si>
    <t>Мероприятие (результат) "Улучшены жилищные условия ветеранов боевых действий, вставших на учет в качестве нуждающихся в жилых помещениях до 1 января 2005 года"</t>
  </si>
  <si>
    <t>Мероприятие (результат) "Улучшены жилищные условия инвалидов и семей, имеющих детей-инвалидов, вставших на учет в качестве нуждающихся в жилых помещениях до 1 января 2005 года"</t>
  </si>
  <si>
    <t>Мероприятие (результат) "Улучшены жилищные условия ветеранов Великой Отечественной войны"</t>
  </si>
  <si>
    <r>
      <t xml:space="preserve">МКУ "УОДОМС":
</t>
    </r>
    <r>
      <rPr>
        <sz val="12"/>
        <rFont val="Times New Roman"/>
        <family val="1"/>
        <charset val="204"/>
      </rPr>
      <t xml:space="preserve">Приобретены бумага офисная (6 пачек, формат А4), канцтовары.
</t>
    </r>
    <r>
      <rPr>
        <b/>
        <sz val="12"/>
        <rFont val="Times New Roman"/>
        <family val="1"/>
        <charset val="204"/>
      </rPr>
      <t/>
    </r>
  </si>
  <si>
    <r>
      <t xml:space="preserve">УпоЖП:
</t>
    </r>
    <r>
      <rPr>
        <sz val="12"/>
        <rFont val="Times New Roman"/>
        <family val="1"/>
        <charset val="204"/>
      </rPr>
      <t>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31.08.2025 состоят 4 человека (3 инвалида, 1 ветеран боевых действий). Граждане, изъявившие желание на получение субсидии в 2025 году, отсутствуют.</t>
    </r>
  </si>
  <si>
    <r>
      <t xml:space="preserve">УпоЖП:
</t>
    </r>
    <r>
      <rPr>
        <sz val="12"/>
        <rFont val="Times New Roman"/>
        <family val="1"/>
        <charset val="204"/>
      </rPr>
      <t>В 2025 году участником мероприятия признан 1 участник ВОВ (член семьи умершего ветерана ВОВ), которому выдано гарантийное письмо. По состоянию на 31.08.2025 участник мероприятия находится в стадии поиска жилья для приобретения.</t>
    </r>
  </si>
  <si>
    <r>
      <t xml:space="preserve">УпоЖП:
</t>
    </r>
    <r>
      <rPr>
        <sz val="12"/>
        <rFont val="Times New Roman"/>
        <family val="1"/>
        <charset val="204"/>
      </rPr>
      <t xml:space="preserve">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В списке молодых семей, претендующих на получение меры государственной поддержки  по городу Когалыму, состоят 12 семей. В 2025 году в соответствии с условиями муниципальной программы получателями субсидий являлись 2 молодые семьи, которым предоставлены социальные выплаты.
По состоянию на 31.08.2025 в списке молодых семей, претендующих на получение меры государственной поддержки  по городу Когалыму, состоят 12 семей. В 2025 году в соответствии с условиями муниципальной программы получателями субсидий являлись 2 молодые семьи, которым предоставлены социальные выплаты. </t>
    </r>
  </si>
  <si>
    <r>
      <rPr>
        <b/>
        <sz val="12"/>
        <rFont val="Times New Roman"/>
        <family val="1"/>
        <charset val="204"/>
      </rPr>
      <t>КУМИ</t>
    </r>
    <r>
      <rPr>
        <sz val="12"/>
        <rFont val="Times New Roman"/>
        <family val="1"/>
        <charset val="204"/>
      </rPr>
      <t xml:space="preserve">
 По состоянию на отчетную дату:
- осуществлена выплата гражданам, в чьей собственности находилось жилое помещение, входящее в аварийный жилищный фонд, по адресу: г.Когалым ул.Фестивальная д.28, кв.19  в сумме 500,0 тыс.руб.;
- приобретено 6 жилых помещений общей площадью 200,2 кв.м на сумму 21 145,645 тыс.руб. </t>
    </r>
  </si>
  <si>
    <r>
      <t xml:space="preserve">УпоЖП:
</t>
    </r>
    <r>
      <rPr>
        <sz val="12"/>
        <rFont val="Times New Roman"/>
        <family val="1"/>
        <charset val="204"/>
      </rPr>
      <t>04.06.2025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дополнительное соглашение о предоставлении субсидии на 2025 год.  8 участникам СВО предоставлены субсидии по итогам приобретения жилых помещений в собственность; по 2 участникам заявки на предоставление субсидии на согласовании в Депстрое ХМАО - Югры; 1 - отказано в предоставлении субсидии по причине приобретения жилья, не соотвествующего условиям мероприятия. Отклонение факта от плановых значений вызвано более длительным процессом перечисления средств,  запланированных на предыдущий месяц.</t>
    </r>
  </si>
  <si>
    <t>1.1.7. Компенсация расходов, возникающих в связи с освобождением от взимания родительской платы за присмотр и уход за детьми в частных организациях, осуществляющих образовательную деятельность по реализации образовательных программ дошкольного образования</t>
  </si>
  <si>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
1. Муниципальный контракт №0187300013725000109 от 16.06.2025 на оказание услуг по ликвидации несанкционированного места размещения отходов (несанкционированной свалки):
- цена контракта - 2 824,20020 тыс. руб.;
- сроки выполнения работ - 09.09.2025
- подрядчик - Акционерное общество «ПолигонЛТД»</t>
  </si>
  <si>
    <t>Неосвоение средств образвалось в связи с наличием больничного листа у сотрудника в обязанности которого входит исполнение данного мероприятия</t>
  </si>
  <si>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30.09.2024-01.08.2025; II - этап 15.05.2025-25.08.2025 (планируется продление сроков по 31.10.2025)
- ведется выполнение работ.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перечислен аванс 30% от цены контракта, что составило 89 400,00 тыс. руб.
- сроки выполнения работ: 25.08.2025 года  (планируется продление сроков по 31.10.2025)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 ведется расторжение контракта.                                       4.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 ведется расторжение контракта.
5.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99 000,00 тыс.руб., перечислен аванс 70% от цены контракта, что составило 69 300,00 тыс.руб.
- сроки выполнения работ: 25.08.2025
На отчетную дату готовность объекта 100 %.                                                      7. Муниципальный контракт № 0187300013725000024 от 26.03.2025 на выполнение работ по благоустройству объекта "Экотропа в городе Когалыме"
- цена контракта: 89 000,00 тыс.руб., перечислен аванс 48% от цены контракта, что составило 42 720,00 тыс. руб.
- сроки выполнения работ: 15.08.2025
- работы выполнены с нарушением сроков., 
8 . Муниципальный контракт Кг-187.25 от 12.08.2025 на осуществление технологического присоединения к электрическим сетям Экотропа в городе Когалыме
- цена контракта 50,47920 тыс. руб.
- сроки выполнения работ по 12.12.2025
- сроки выполнения работ: 25.08.2025
- ведется выполнение работ</t>
  </si>
  <si>
    <t>1. Муниципральный контракт 0187300013725000118 от 02.07.2025 на выполнение работ по благоустройству объекта: "Сквер вблизи СК "Олимп", расположенного по адресу: ХМАО-Югра, г. Когалым, ул. Нефтяников"
- цена контракта -  49 990,00 тыс. руб.
- сроки выполнения работ по 29.08.2025 (ведется работа по продлению сроков до 31.10.2025)
- перечислен аванс в сумме 14 997,00 тыс.руб (30% от цены контракта)
- работы выполнены                                  - 31.10.2025 состоялсь общественная приемка объекта.</t>
  </si>
  <si>
    <t>Заключен МК ЭС1902000064/25 от 13.12.2024 года, оказание
коммунальных услуг по поставке электрической энергии (камеры ИТКБ,
камеры Одиссей, здание МКУ "ЕДДС").
Заключен МК № 01873000137240002430001 от 25.10.2024 года, на
оказание услуг по техническому, эксплуатационному обслуживанию и
ремонту оборудования интегрированного технического комплекса
безопасности города Когалыма.
Заключен МК № 01873000137240001380001 от 08.07.2024 года, на
оказание услуг связи. Отклонение сложилось  в результате оплаты электрической энергии согласно показанию счетчиков по факту.</t>
  </si>
  <si>
    <t xml:space="preserve">В народной дружине на 01.11.2025 состоит 26 человек.
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</si>
  <si>
    <t>Неисполнение по начислениям по оплате труда (оплата досрочно страховых взносов с зарплаты за  2025г).</t>
  </si>
  <si>
    <t xml:space="preserve"> Обучение. по прогр"Совр. техн.профилактики зависимого повед.подрост.и молод.":                    СОШ №1-21,48; СОШ №3-21,48, СОШ №5-21,48, СОШ №6-21,48, СОШ №7-21,48, СОШ №8-21,48, СОШ №10-21,48;   </t>
  </si>
  <si>
    <t>Школа безопасности СОШ №7-170,0</t>
  </si>
  <si>
    <t>Произведена трансляция видеороликов напарвленных на профилатику наркомании</t>
  </si>
  <si>
    <t>Произведена трансляция видеороликов напарвленных на профилатику мошенничества.</t>
  </si>
  <si>
    <t xml:space="preserve">                                                                                                     </t>
  </si>
  <si>
    <t>1. Муниципальный контракт №0187300013724000262 от 11.11.2024 на оказание услуг по обращению с животными без владельцев на территории города Когалыма
- цена контракта 9 536,7тыс. руб.
- подрядчик - ИП СКЛЯР Л.П.
- ведется оказание услуг                                                                                                                                                    2.1. Муниципальный контракт № 0187300013725000025 от 26.03.2025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 цена контракта - 850 850,85 рублей;
- срок оказания услуг по 18.09.2025;                                                          
- исполнитель услуг - Индивидуальный предприниматель Карпов Владислав Геннадьевич.                                            -услуги оказаны и оплачены в полном объеме.
2.2. В рамках субвенции предусмотренно администрирование (заработная плата/страховые взносы) в размере 26 725,50 рублей, из них кассовые расходы на 01.11.2025 составили 14 429,70 рублей.</t>
  </si>
  <si>
    <t>ОАиГ:
Заключены договора с ООО "СКК" на сумму 190,68 тыс.руб. на изготовление и поставку полиграфической продукции к 9 мая: 
- от 05.02.2025 №25СКК056 на сумму 56,26 тыс.руб.;
- от 22.04.2025 №25СКК163 на сумму 134,42 тыс.руб. 
Услуги оказаны и оплачены в полном объеме.
В целях художественного оформления фасадов многоквартирных домов заключены муниципальные контракты:
- №01873000137250000220001 от 24.03.2025 на сумму 525,40 тыс.руб. (ул. Степана Повха, д.16). Работы выполнены и оплачены в полном объеме.
- №01873000137250000210001 от 24.03.2025 на сумму 271,04 тыс.руб. (ул. Сибирская, д.3). Работы выполнены и оплачены в полном объеме.
- №01873000137250000390001 от 08.04.2025 на сумму 1 890,00 тыс.руб. (Сургутское шоссе 3, 11А, 13). Срок выполнения работ - 01.08.2025. Работы выполнены ведется приемка.     Плановая оплата за разработку мастер плана в размере 4 500,0 тыс. руб. запланирована на ноябрь 2025</t>
  </si>
  <si>
    <t xml:space="preserve">На выполнение работ (оказание услуг) в 2025 году заключены МК: 
- №0187300013720000073 от 14.07.2020 с ООО "БЛ ЭНЕРГО"на выполнение работ по энергосбережению и повышению энергетической эффективности при эксплуатации объектов наружного (уличного) освещения в городе Когалыме - цена контракта 51 159,40812тыс. руб., ведется выполнение работ;
   - от 30.09.2024 №0187300013724000219 с ИП САГИТОВ М.С. на оказание услуг по содержанию мест (площадок) накопления твердых коммунальных отходов - цена контракта 1 850,14944тыс. руб., ведется оказание услуг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работы выполнены и оплачены в полном объеме;
     - от 08.11.2024 №0187300013724000258 с ИП НУРИАХМЕТОВ Г.В. на поставку, монтаж и содержание зимних горок, - цена контракта 2 458,3465тыс. руб., - работы выполнены и оплачены в полном объеме.
- от 08.11.2024 №0187300013724000259 с ИП НУРИАХМЕТОВ Г.В. на оказание услуг по монтажу и содержанию зимних горок - цена контракта 3 770, 00 тыс. руб., услуги оказаны и оплачены в полном объеме.
   -  от 29.11.2024 №0187300013724000279 с ООО "Ритуал" на оказание услуг по содержанию городского кладбища на территории города Когалыма - цена контракта 3 858,656 тыс. руб., ведется оказание услуг. 
- от 09.12.2024 №1-34-КО с ООО "Ритуал" на предоставлении из бюджета города Когалыма субсидии на возмещение части затрат в связи с оказанием ритуальных услуг - цена контракта 1 325,604 тыс. руб., ведется оказание услуг.
- от 18.12.2024 №ЭС1902000062/25 с АО "Газпром энергосбыт Тюмень" на сумму 21 642,4 тыс.руб. на электроэнергию сетей НО улиц и дворовых территорий- ведется оказание услуг.
 -  от 11.03.2025 №2025.249062 с ИП ИВЛЮТИН И.А. на поставку флагов- цена контракта 220тыс. руб., работы выполнены и оплачены в полном объеме.
-  от 22.05.2025 №24/2025 с ИП Никулина Н.Э. на поставку флагов - цена контракта 417,58тыс. руб., работы выполнены и оплачены в полном объеме.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работы выполнены и оплачены в полном объеме;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ХМАО, г. Когалым, ул. Береговая, район дома 101 - цена контракта 302,901 тыс. руб., услуга оказана и оплачены в полном объеме.
 - от 25.03.2025 №7/2025 с ИП Блаженским М.В. на оказание услуг по очистке, погрузке и вывозу снега с территории города Когалыма на сумму 598,85 тыс.руб. услуга выполнена в полном объеме и оплачена;
- от 25.03.2025 №8/2025 с ИП Блаженским М.В. на оказание услуг по очистке, погрузке и вывозу снега с территории города Когалыма на сумму 598,85 тыс.руб. услуга выполнена в полном объеме и оплачена;
-от 25.03.2025 №9/2025 с ИП Блаженским М.В. на оказание услуг по очистке, погрузке и вывозу снега с территории города Когалыма на сумму 598,85 тыс.руб, услуга выполнена в полном объеме и оплачена;
- от 27.03.2025 №0387300043825000002 с  с ИП Блаженским М.В. на оказание услуг по очистке, погрузке и вывозу снега с территории города Когалыма на сумму 6 603,30 тыс. руб. услуга выполнена в полном объеме и оплачена;
-  от 28.03.2025 №0187300013725000027 с ИП КОЗЕР С.А. на выполнение работ по ремонту пешеходных дорожек и тротуаров в городе Когалыме - цена контракта 6 097,54895тыс. руб., работы выполнены и оплачены в полном объеме.
- от 31.03.2025 №10/2025 с ИП БЕЛОЗЕРОВ В.А. на оказание услуг по изготовлению пленки с оклейкой (брендирование) транспортных средств (автобусов) - цена контракта 460,68 тыс. руб., услуги оказаны и оплачены в полном объеме.
- от 31.03.2025  №11/2025 с ИП МОЦБАВЕР Е.Е. на оказание услуг по откачке дождевых вод - цена контракта 592,04тыс. руб., услуга оказана и оплачена.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услуга оказана вып;
- на оформление технических планов на инженерные сети ливневой канализации в сумме 91,0 тыс.руб.
- от 03.04.2025 №ЮЭ86КО1700000483 с АО  "ЮГРА-ЭКОЛОГИЯ" на оказание услуг по обращению с твердыми коммунальными отходами с бюджетной организацией - цена контракта 120,10 тыс. руб., услуга выполнена в полном объеме и оплачена.
-  от 03.04.2025 №2/Л ООО "РГС" на выполнение работ по капитальному ремонту фонтанов на территории Рябинового бульвара, расположенного вдоль улицы Прибалтийской - цена контракта 36 496тыс. руб., работы выполнены и оплачены в полном объеме; 
- от 09.04.2025 №4/Л с ООО " ДОРСТРОЙСЕРВИС " на выполнение работ по обустройству пешеходной дорожки от объекта благоустройства "Экотропа" до пешеходной дорожки от улицы Дружбы народов до улицы Широкая - цена контракта 2 521тыс. руб., работы выполнены и оплачены. 
- от 10.04.2025 №3/Л с ООО " ДОРСТРОЙСЕРВИС "на выполнение работ по ремонту пешеходной дорожки от улицы дружбы народов до улицы Широкая - цена контракта 20 000 тыс. руб., работы выполнены и оплачены.
- от 14.04.2025 №15/2025 с  ИП Гаджикулиев Ф.М. на оказание услуг по удалению ледяных пробок паром высокого давления в системе ливневой канализации на территории города Когалыма - цена контракта 600тыс. руб., услуги оказаны и оплачена в полном объеме.
- от 15.04.2025 №0187300013725000053 с ИП Блаженским М.В. на оказание услуг по очистке, погрузке и вывозу снега с территории города Когалыма на сумму 20 861,5 тыс.руб.;
- от 15.04.2025 №16/2025 с ИП КАБАЦКИЙ Ю.Н. на оказание услуг по демонтажу и транспортировке на хранение новогодних композиций  - цена контракта 446,04 тыс. руб., услуги оказаны и оплачена в полном объеме;
-  от 15.04.2025 №17/2025 с ООО "УПТК" на оказание услуг по хранению новогодних композиций- цена контракта 380,1тыс. руб., ведется оказание услуг; 
- от 18.04.2025 №1/2213 с ИП ХАНИЕВА Н.А. на оказание услуг по оформлению технических планов на инженерные сети ливневой канализации- цена контракта 91,0 тыс. руб., услуги оказаны и оплачены. 
- от 22.04.2025 №25СКК163 с ООО "СПОРТИВНО-КУЛЬТУРНЫЙ КОМПЛЕКС"
на поставку полиграфической продукции- цена контракта 134,42тыс. руб., поставка выполнена и оплачена в полном объеме;
- от 24.04.2025 №18/2025 с ООО "Гарантия" на оказание услуг по содержанию специальных урн (дог-боксов) - цена контракта 228,8 тыс. руб., ведется оказание услуг. 
-  от 24.04.2025 №19/2025 с ИП БЕЛОЗЕРОВ В.А. на оказание услуг по изготовлению пленки с оклейкой (брендирование) транспортных средств (автобусов) - цена контракта 560,9тыс. руб., услуги оказаны и оплачены в полном объеме. 
- от 24.04.2025 №18/2025 с ООО "Гарантия" на оказание услуг по содержанию специальных урн (дог-боксов) - цена контракта 228,8 тыс. руб., ведется оказание услуг. 
- от 28.04.2025 №201 с ООО "Частная охранная организация "Вектор" на оказание услуг по охране объекта "Этнодеревня" на территории города Когалыма на сумму 474,48 тыс. руб. контракт исполнен;
- от 29.04.2025 №20/2025 с ИП ЛУЧИНИНА М.М. на выполнение работ по разработке проектно-сметной документации на обустройство пешеходной дорожки от объекта благоустройства "Экотропа" до пешеходной дорожки от улицы Дружбы народов до улицы Широкая - цена контракта 318,19тыс. руб., работы выполнены и оплачены в полном объеме.
- от 30.04.2025 №21/2025 с ИП Скляр Леонид Петрович на оказание услуг по содержанию объекта "Этнодеревня" на сумму 559,39 тыс. руб.; ведется оказание услуг.
- от 30.04.2025 №22/2025 ООО "ТУРА-ЗЕЛЕНГРУПП" на поставку саженцев деревьев
- цена контракта 599,9тыс. руб., работы выполнены и оплачены в полном объеме. 
- от 14.05.2025 №0187300013725000081 с ИП САГИДОВ М.С. на оказание услуг по содержанию площадок для выгула животных- цена контракта 2 000 тыс. руб., оказание услуг с 01.12.2025 по 30.11.2027.
- от 19.05.2025 №23/2025 с ИП Лучинина М.М.на разработку проектной документации на  устройство объекта: "Пешеходная и велосипедная дорожки в 5м микрорайоне города Когалыма (в границах ул.Мира, ул.Градостроителей, Объездной дороги)" - цена контракта 592тыс. руб., контракт исполнен.
- от 22.05.2025 №24/2025 с ИП Никулина Наталья Эдуардовна на поставку флагов на сумму 417,58 тыс.руб. услуга выполнена в полном объеме и оплачена;
- от 20.05.2025 №6/1 с ИП Гультяев А.В. на выполнение работ по покраске фасадов жилых домов в городе Когалыме - цена контракта 37 468,62тыс. руб., работы выполнены и оплачены в полном объеме.
-  от 28.05.2025 №2025.612214 ООО "СТРОЙУСПЕХ" на поставку хозяйственных товаров - цена контракта 98,46тыс. руб., контракт исполнен.
- от 11.06.2025№2025.674963 с ООО "СТРОЙУСПЕХ" на поставку хозяйственных товаров - цена контракта 86,45тыс. руб., контракт исполнен. 
- от 11.06.2025 №0187300013725000107 с ИП КОЗЕР С.А.на выполнение работ по покраске конструкций Пешеходного моста через реку Ингу-Ягун по адресу: город Когалым, район Административного здания блока «С» - цена контракта 1 273,16713тыс. руб., работы выполнены и оплачены в полном объеме. 
- от 11.06.2025 №29/2025 с ИП КОЗЕР С.А. на выполнение работ по окраске сооружений, установленных на центральной площади по улице Мира в городе Когалыме - цена контракта 159,988 тыс. руб., работы выполнены и оплачены в полном объеме.
- от 17.06.2025 №0187300013725000119 с ООО "МЕГАПЛАСТ" на выполнение работ по ремонту объекта "Архитектурная композиция и основание", расположенного на пересечении улиц Дружбы Народов - Молодёжная - Югорская (Жемчужина) в городе Когалыме - цена контракта 4 013,31925тыс. руб., ведется выполнение работ.
-  от 18.06.2025 №1/2310 с ИП ХАНИЕВА Н.А. на выполнение инженерных изысканий на устройство объекта "Пешеходная и велосипедные дорожки в 5-м микрорайоне города Когалыма (в границах ул.Мира, ул.Градостроителей, Объездной дороги" - цена контракта 565тыс. руб., контракт исполнен.
-  от 30.06.2025 №0187300013725000131с ИП СУСЛОВ Д.М. на выполнение работ по обустройству пешеходных дорожек и тротуаров в городе Когалыме - цена контракта 3 332тыс. руб., контракт исполнен.
 - от 30.06.2025 №0187300013725000133 с ИП БАРАНОВ А.А. на выполнение работ по обустройству ливневой канализации на дворовых территориях в городе Когалыме - цена контракта 1 662,26166тыс. руб., ведется выполнение работ.
- от 30.06.2025 №0187300013725000134 с ИП БАРАНОВ А.А. на выполнение работ по ремонту пешеходных дорожек и тротуаров в городе Когалыме - цена контракта 3 702,32768тыс. руб., контракт исполнен.
-  от 01.07.2025 №37/2025 ИП ГОРБАТОВ А.В.на поставку розовых искусственных веток "Сакуры"- цена контракта 453тыс. руб., услуга выполнена в полном объеме и оплачена.
- от 07.07.2025 №0187300013725000132 с ООО «КВИКСИ ГРУПП» на оказание услуг по ремонту сухого фонтана на площади по улице Мира в городе Когалыме - цена контракта - 5 357,10 тыс. руб., услуга выполнена в полном объеме и оплачена;
- от 11.07.2025 41/2025 с ИП Мустафаев Р.М. на оказание услуг по покосу газонной травы на территориях города Когалыма- цена 598,35 тыс. руб., контракт исполнен.
- от 11.07.2025 №0187300013725000140 ИП КОЗЕР С.С. на выполнение работ по ремонту пешеходных дорожек и тротуаров в городе Когалыме - цена контракт - 5 220,83883 тыс. руб., работы выполнены и оплачены в полном объеме.
- от 23.07.2025 №44/2025 ООО "СПОРТИВНО-КУЛЬТУРНЫЙ КОМПЛЕКС"
на поставку полиграфической продукции - цена контракта 125,25тыс. руб., поставка выполнена и оплачена в полном объеме;
-  от 25.07.2025 №46/2025 с ООО "Частная охранная организация "Вектор" на оказание услуг по охране объекта "Этнодеревня" на территории города Когалым - цена контракта 474.48632 тыс. руб., ведется оказание услуг;  
- от 25.07.2025 45/2025 с ИП Мустафаев Р.М. на оказание услуг по покосу газонной травы на территориях города Когалыма - цена 598,35 тыс. руб., контракт исполнен.
- от 28.07.2025 №0187300013725000150 с ООО "МЕГАПЛАСТ" на выполнение работ по ремонту пешеходных дорожек и тротуаров в городе Когалыме - цена контракта 1 497,11815 тыс. руб., контракт исполнен.
- от 28.07.2025 № 0187300013725000157 с ООО "АКВАСТРОЙ-СЕРВИС" на выполнение работ по обустройству ливневой канализации на дворовых территориях в городе Когалыме - цена контракта - 8 859,00174 тыс. руб., работы ведутся;
- от 28.07.2025 №0187300013725000158 с АО ЦЕНТР ИНЖЕНЕРНО-ЭКОЛОГИЧЕСКОЙ БЕЗОПАСНОСТИ "РУСИЧ" на выполнение работ по очистке дождеприемных колодцев и промывке ливневой канализации на территории города Когалыма - цена контракта - 13 324,077 тыс. руб., работы ведутся.
- от 07.08.2025 №25СКК249 ООО "СПОРТИВНО-КУЛЬТУРНЫЙ КОМПЛЕКС"
на поставку полиграфической продукции - цена контракта 36,66тыс. руб.,поставка выполнена и оплачена в полном объеме;
- от 12.08.2025 №55/2025 с ООО "Сантехсервис"на выполнение работ по восстановлению канализационных колодцев с люками и прилегающего к ним асфальтного покрытия по ул.Молодежная, д.20 (Монетка), 10/2 (ЕДДС) - цена контракта 207,5тыс. руб., услуги оказаны и оплачена в полном объеме.
- от 03.09.2025 63/2025 с ИП Мустафаев Р.М. на оказание услуг по покосу газонной травы на территориях города Когалыма - цена 597,87 тыс. руб., контракт исполнен. 
- от 04.09.2025 №25СКК267 ООО "СПОРТИВНО-КУЛЬТУРНЫЙ КОМПЛЕКС"на поставку полиграфической продукции - цена контракта 42,57тыс. руб.,поставка выполнена и оплачена в полном объеме;
- от 06.10.2025 №76/2025 с ООО "РЕГИОНАЛЬНЫЙ ЦЕНТР СТОИМОСТНОГО ИНЖИНИРИНГА И ЭКСПЕРТИЗЫ" на оказание услуг по расчету стоимости содержания объектов благоустройства города Когалыма - цена контракта 98,00 тыс. руб.
- от 30.10.2025 №US01.1500.2025.359 с АО "РОССЕТИ ТЮМЕНЬ" на оказание услуг по демонтажу сезонных веток на светодиодных деревьях - цена контракта 99,72 тыс. руб.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t>
  </si>
  <si>
    <t xml:space="preserve">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t>
  </si>
  <si>
    <t>Экономия по заработной плате и начисление на оплату труда (наличие вакансии, листов временной нетрудоспособности)</t>
  </si>
  <si>
    <t>Экономия образовалась по результатам конкурсных процедур</t>
  </si>
  <si>
    <t>Экономия образовалась по результатам конкурсных процедур, по заработной плате и начисление на оплату труда (наличие вакансии, листов временной нетрудоспособности), по санаторно-курортному лечению, командировочных рассходов, при оплате коммунальных услуг (показания приборов учета)</t>
  </si>
  <si>
    <t>Экономия в сумме 288,61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 г., наличие вакантной ставки).</t>
  </si>
  <si>
    <t xml:space="preserve">Экономия сложилась в сумме  480,49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</si>
  <si>
    <t>Экономия в сумме 1178,50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</si>
  <si>
    <t xml:space="preserve">Расхождение плановых от фактических показателей сочставляет 600,00 тыс.руб </t>
  </si>
  <si>
    <t>Расхождение по пункту составляет всего: 1947,60</t>
  </si>
  <si>
    <t>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t>
  </si>
  <si>
    <t>Экономия денежных средств сложилась в связи тем что: 1.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t>
  </si>
  <si>
    <t xml:space="preserve">2. Муниципальные служащие Администрации города Когалыма не в полном объеме воспользовались правом выплаты частичной компенсации  на оплату стоимости проезда к месту отдыха и обратно и  компенсацией стоимости оздоровительных и санаторно-курортных путёвок. </t>
  </si>
  <si>
    <t>Мероприятие предполагает финансовое обеспечение деятельности отдела записи актов гражданского состояния Администрации города Когалыма: - неисполнение по заработной плате и начислениям по оплате труда (оплата произведена согласно фактически отработанного времени)</t>
  </si>
  <si>
    <t>Мероприятие предполагает финансовое обеспечение деятельности должностных лиц и структурных подразделений Администрации города Когалыма: - неисполнение по заработной плате и начислениям по оплате труда (оплата произведена согласно фактически отработанного времени), наличия вакансий в структурных подразделениях Администрации города Когалыма</t>
  </si>
  <si>
    <t>Благодарности, ручки, флаги, грамоты-СОШ №10, СОШ №5</t>
  </si>
  <si>
    <t>Отклонение - 5461,881 тыс. руб., в том числе: 1907,424 тыс. руб. - оплата труда, 10,0 тыс. руб.  - материальная помощь к юбилейной дате, 78,016тыс. руб. - суточные, проезд, проживание при служ. командировках,  582,022тыс. руб. - начисление на оплату труда,7,515тыс. руб. - услуги связи, 18,700 тыс. руб. - транспортные услуги, 282,108 тыс. руб. - коммунальные платежи, 35,663 - дезинсекция, дератизация в МЦ "Метро", 100,0 тыс. руб. - предусмотрено на стирку скатертей, 111,696 тыс. руб. - техническое обсуживание системы видеонаблюдения и кассовых аппаратов, 190,827 тыс. руб. - текущий ремонт, 69,748 тыс. руб. - предусмотрены договоры ГПХ на мойку посуды, 44,197 тыс. руб. - санитарно-эпидемиологическое обследование баров, 1040,995 тыс. руб. -прочие расходы, 28,19 тыс. руб.- приобретение основных средств, 340,768 тыс. руб.- продукты питания, 311,764 тыс. руб. - прочие приобретения и призы, 302,248тыс. руб. - оплата налогов.</t>
  </si>
  <si>
    <t>Отклонение - 13047,971 тыс. руб., в том числе 7215,310 тыс. руб. - заработная плата,  31,005 тыс. руб. - оплата 3-х дней больничного за счет средств работодателя, 6,812 тыс. руб. - медосмотр при приеме на работу, 2158,687 тыс. руб. - начисление на выплаты по оплате труда, 113,299тыс. руб. - услуги связи, 0,355 тыс. руб. - транспортные расходы, 53,984тыс. руб. - механизированная уборка и вывоз снега; 351,424 тыс. руб. -  техническое обслуживание зданий, 71,201 тыс. руб. - противопожарное обслуживание, 58,077 тыс. руб. - обследование помещений в рамках производственного контроля,  8,000тыс.руб.-обслуживание УРМ,  116,888 тыс. руб. - анализ сточных вод, 394,318 тыс. руб. - услуги охраны, 0,873 тыс. руб. - оплата аренды земли под складом,  732,823 тыс. руб. - теплоснабжение, 423,160 тыс. руб. - энергоснабжение; 9,501тыс. руб. - водопотребление,  609,171 тыс. руб. - налоги, 393,485 тыс руб. - содержание объекта благоустройства Набережная реки Ингу-Ягун., 6,521 тыс. руб. - оплата льготного проезда, 185,0 тыс. руб. - оплата путевок, 108,077тыс.руб.-экономия по разработке проектно-сметной документации на утепление фасада МЦ "Метро"</t>
  </si>
  <si>
    <r>
      <rPr>
        <b/>
        <sz val="12"/>
        <rFont val="Times New Roman"/>
        <family val="1"/>
        <charset val="204"/>
      </rPr>
      <t>АРТ</t>
    </r>
    <r>
      <rPr>
        <sz val="12"/>
        <rFont val="Times New Roman"/>
        <family val="1"/>
        <charset val="204"/>
      </rPr>
      <t xml:space="preserve"> - Отклонение 9086,285 тыс.руб., в том числе: 6633,439 тыс. руб.  - на проведение юбилейных мероприятий (НК "ЛУКОЙЛ"), 1500,271 тыс.руб.-текущий ремонт помещений к праздничному мероприятию в КСК "Ягун", 63,303 тыс. руб. - экономия по монтажу-демонтажу сцены на выпускной бал "Белая ночь" и фестиваль "Фолк-фест Когалым" , 18,690 тыс. руб. - экономия по мастер-классам на мер. "Юнтагор", 133,266 тыс. руб. -экономия по охране на мероприятие "День города"; 640,188 тыс. руб. - подиум; 24,423 тыс. руб. - экономия по шатрам, столам;,  0,105 - консоли светодиодные, 72,600тыс. руб. - ростовые куклы.              </t>
    </r>
    <r>
      <rPr>
        <b/>
        <sz val="12"/>
        <rFont val="Times New Roman"/>
        <family val="1"/>
        <charset val="204"/>
      </rPr>
      <t xml:space="preserve">МВЦ </t>
    </r>
    <r>
      <rPr>
        <sz val="12"/>
        <rFont val="Times New Roman"/>
        <family val="1"/>
        <charset val="204"/>
      </rPr>
      <t>- Остаток средств в сумме 2012,547 т.руб.- в т.ч. транспортные расходы - 150,0 руб.,   содержание - 21,0 т.руб., прочие услуги -1841,547 т.руб., ., оплата по факту на основании документов на оплату,  товарных накладных и акта выполненных работ, средства будут использованы в сентябре.</t>
    </r>
  </si>
  <si>
    <r>
      <rPr>
        <b/>
        <sz val="12"/>
        <rFont val="Times New Roman"/>
        <family val="1"/>
        <charset val="204"/>
      </rPr>
      <t>АРТ</t>
    </r>
    <r>
      <rPr>
        <sz val="12"/>
        <rFont val="Times New Roman"/>
        <family val="1"/>
        <charset val="204"/>
      </rPr>
      <t xml:space="preserve"> - Отклонение 9459,189тыс.руб., 6600,900 - сборно-разборный сценический комплекс поступил в нерабочем состоянии., 546,704тыс.руб. - сценические костюмы - нет закрывающих документов, 2036,200 руб. - новогодняя ель, комплект светодиодных украшений, 220,0 тыс. руб. - новогодние игрушки на ель, 55,385 тыс. руб. - экономия по закупочным процедурам      </t>
    </r>
    <r>
      <rPr>
        <b/>
        <sz val="12"/>
        <rFont val="Times New Roman"/>
        <family val="1"/>
        <charset val="204"/>
      </rPr>
      <t>МВЦ</t>
    </r>
    <r>
      <rPr>
        <sz val="12"/>
        <rFont val="Times New Roman"/>
        <family val="1"/>
        <charset val="204"/>
      </rPr>
      <t xml:space="preserve">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</si>
</sst>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_ ;[Red]\-#,##0.0\ "/>
    <numFmt numFmtId="165" formatCode="#,##0_ ;[Red]\-#,##0\ "/>
    <numFmt numFmtId="166" formatCode="#,##0.00_ ;[Red]\-#,##0.00\ "/>
    <numFmt numFmtId="167" formatCode="_(* #,##0.00_);_(* \(#,##0.00\);_(* &quot;-&quot;??_);_(@_)"/>
    <numFmt numFmtId="168" formatCode="0.000"/>
  </numFmts>
  <fonts count="55" x14ac:knownFonts="1">
    <font>
      <sz val="11"/>
      <color theme="1"/>
      <name val="Calibri"/>
      <family val="2"/>
      <charset val="204"/>
      <scheme val="minor"/>
    </font>
    <font>
      <sz val="11"/>
      <color theme="1"/>
      <name val="Calibri"/>
      <family val="2"/>
      <charset val="204"/>
      <scheme val="minor"/>
    </font>
    <font>
      <sz val="12"/>
      <color rgb="FFFF0000"/>
      <name val="Times New Roman"/>
      <family val="1"/>
      <charset val="204"/>
    </font>
    <font>
      <sz val="12"/>
      <name val="Times New Roman"/>
      <family val="1"/>
      <charset val="204"/>
    </font>
    <font>
      <sz val="16"/>
      <color rgb="FFFF0000"/>
      <name val="Times New Roman"/>
      <family val="1"/>
      <charset val="204"/>
    </font>
    <font>
      <sz val="14"/>
      <color rgb="FFFF0000"/>
      <name val="Times New Roman"/>
      <family val="1"/>
      <charset val="204"/>
    </font>
    <font>
      <sz val="16"/>
      <name val="Times New Roman"/>
      <family val="1"/>
      <charset val="204"/>
    </font>
    <font>
      <sz val="14"/>
      <name val="Times New Roman"/>
      <family val="1"/>
      <charset val="204"/>
    </font>
    <font>
      <sz val="10"/>
      <name val="Arial"/>
      <family val="2"/>
      <charset val="204"/>
    </font>
    <font>
      <sz val="11"/>
      <color theme="1"/>
      <name val="Calibri"/>
      <family val="2"/>
      <scheme val="minor"/>
    </font>
    <font>
      <sz val="11"/>
      <color rgb="FFFF0000"/>
      <name val="Calibri"/>
      <family val="2"/>
      <charset val="204"/>
      <scheme val="minor"/>
    </font>
    <font>
      <sz val="16"/>
      <color rgb="FFFF0000"/>
      <name val="Calibri"/>
      <family val="2"/>
      <charset val="204"/>
      <scheme val="minor"/>
    </font>
    <font>
      <sz val="11"/>
      <name val="Calibri"/>
      <family val="2"/>
      <charset val="204"/>
      <scheme val="minor"/>
    </font>
    <font>
      <b/>
      <sz val="12"/>
      <name val="Times New Roman"/>
      <family val="1"/>
      <charset val="204"/>
    </font>
    <font>
      <b/>
      <sz val="11"/>
      <name val="Calibri"/>
      <family val="2"/>
      <charset val="204"/>
      <scheme val="minor"/>
    </font>
    <font>
      <sz val="16"/>
      <name val="Calibri"/>
      <family val="2"/>
      <charset val="204"/>
      <scheme val="minor"/>
    </font>
    <font>
      <sz val="9"/>
      <color indexed="81"/>
      <name val="Tahoma"/>
      <family val="2"/>
      <charset val="204"/>
    </font>
    <font>
      <b/>
      <sz val="9"/>
      <color indexed="81"/>
      <name val="Tahoma"/>
      <family val="2"/>
      <charset val="204"/>
    </font>
    <font>
      <sz val="14"/>
      <color rgb="FFFF0000"/>
      <name val="Calibri"/>
      <family val="2"/>
      <charset val="204"/>
      <scheme val="minor"/>
    </font>
    <font>
      <sz val="14"/>
      <name val="Calibri"/>
      <family val="2"/>
      <charset val="204"/>
      <scheme val="minor"/>
    </font>
    <font>
      <b/>
      <sz val="14"/>
      <name val="Calibri"/>
      <family val="2"/>
      <charset val="204"/>
      <scheme val="minor"/>
    </font>
    <font>
      <b/>
      <sz val="12"/>
      <color rgb="FFFF0000"/>
      <name val="Times New Roman"/>
      <family val="1"/>
      <charset val="204"/>
    </font>
    <font>
      <sz val="12"/>
      <name val="Calibri"/>
      <family val="2"/>
      <charset val="204"/>
      <scheme val="minor"/>
    </font>
    <font>
      <b/>
      <sz val="12"/>
      <name val="Calibri"/>
      <family val="2"/>
      <charset val="204"/>
      <scheme val="minor"/>
    </font>
    <font>
      <sz val="12"/>
      <color rgb="FFFF0000"/>
      <name val="Calibri"/>
      <family val="2"/>
      <charset val="204"/>
      <scheme val="minor"/>
    </font>
    <font>
      <sz val="11"/>
      <name val="Times New Roman"/>
      <family val="1"/>
      <charset val="204"/>
    </font>
    <font>
      <b/>
      <sz val="11"/>
      <name val="Times New Roman"/>
      <family val="1"/>
      <charset val="204"/>
    </font>
    <font>
      <b/>
      <i/>
      <sz val="12"/>
      <name val="Times New Roman"/>
      <family val="1"/>
      <charset val="204"/>
    </font>
    <font>
      <i/>
      <sz val="12"/>
      <name val="Times New Roman"/>
      <family val="1"/>
      <charset val="204"/>
    </font>
    <font>
      <b/>
      <sz val="11"/>
      <color rgb="FFFF0000"/>
      <name val="Calibri"/>
      <family val="2"/>
      <charset val="204"/>
      <scheme val="minor"/>
    </font>
    <font>
      <sz val="11"/>
      <color rgb="FFFF0000"/>
      <name val="Times New Roman"/>
      <family val="1"/>
      <charset val="204"/>
    </font>
    <font>
      <sz val="10"/>
      <name val="Times New Roman"/>
      <family val="1"/>
      <charset val="204"/>
    </font>
    <font>
      <sz val="9"/>
      <name val="Times New Roman"/>
      <family val="1"/>
      <charset val="204"/>
    </font>
    <font>
      <b/>
      <sz val="12"/>
      <color rgb="FFFF0000"/>
      <name val="Calibri"/>
      <family val="2"/>
      <charset val="204"/>
      <scheme val="minor"/>
    </font>
    <font>
      <b/>
      <sz val="11"/>
      <color theme="1"/>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color theme="1"/>
      <name val="Times New Roman"/>
      <family val="1"/>
      <charset val="204"/>
    </font>
    <font>
      <sz val="14"/>
      <color theme="1"/>
      <name val="Times New Roman"/>
      <family val="1"/>
      <charset val="204"/>
    </font>
    <font>
      <b/>
      <sz val="11"/>
      <name val="Times New Roman"/>
      <family val="1"/>
      <charset val="204"/>
    </font>
    <font>
      <b/>
      <sz val="16"/>
      <name val="Calibri"/>
      <family val="2"/>
      <charset val="204"/>
      <scheme val="minor"/>
    </font>
    <font>
      <b/>
      <sz val="12"/>
      <color indexed="81"/>
      <name val="Tahoma"/>
      <family val="2"/>
      <charset val="204"/>
    </font>
    <font>
      <sz val="12"/>
      <color indexed="81"/>
      <name val="Tahoma"/>
      <family val="2"/>
      <charset val="204"/>
    </font>
    <font>
      <b/>
      <sz val="11"/>
      <color indexed="81"/>
      <name val="Tahoma"/>
      <family val="2"/>
      <charset val="204"/>
    </font>
    <font>
      <b/>
      <u/>
      <sz val="11"/>
      <color indexed="81"/>
      <name val="Tahoma"/>
      <family val="2"/>
      <charset val="204"/>
    </font>
    <font>
      <sz val="11"/>
      <color indexed="81"/>
      <name val="Tahoma"/>
      <family val="2"/>
      <charset val="204"/>
    </font>
    <font>
      <b/>
      <sz val="10"/>
      <name val="Times New Roman"/>
      <family val="1"/>
      <charset val="204"/>
    </font>
    <font>
      <sz val="12"/>
      <name val="Times New Roman"/>
      <family val="1"/>
      <charset val="204"/>
    </font>
    <font>
      <b/>
      <sz val="14"/>
      <name val="Times New Roman"/>
      <family val="1"/>
      <charset val="204"/>
    </font>
    <font>
      <sz val="10"/>
      <name val="Times New Roman"/>
      <family val="1"/>
      <charset val="204"/>
    </font>
    <font>
      <sz val="12"/>
      <name val="Times New Roman"/>
    </font>
  </fonts>
  <fills count="2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7030A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FFFF"/>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8">
    <xf numFmtId="0" fontId="0" fillId="0" borderId="0"/>
    <xf numFmtId="0" fontId="1" fillId="0" borderId="0"/>
    <xf numFmtId="0" fontId="8" fillId="0" borderId="0"/>
    <xf numFmtId="43" fontId="9" fillId="0" borderId="0" applyFont="0" applyFill="0" applyBorder="0" applyAlignment="0" applyProtection="0"/>
    <xf numFmtId="167" fontId="8" fillId="0" borderId="0" applyFont="0" applyFill="0" applyBorder="0" applyAlignment="0" applyProtection="0"/>
    <xf numFmtId="0" fontId="1" fillId="0" borderId="0"/>
    <xf numFmtId="43" fontId="9" fillId="0" borderId="0" applyFont="0" applyFill="0" applyBorder="0" applyAlignment="0" applyProtection="0"/>
    <xf numFmtId="43" fontId="8" fillId="0" borderId="0" applyFont="0" applyFill="0" applyBorder="0" applyAlignment="0" applyProtection="0"/>
  </cellStyleXfs>
  <cellXfs count="711">
    <xf numFmtId="0" fontId="0" fillId="0" borderId="0" xfId="0"/>
    <xf numFmtId="0" fontId="2" fillId="0" borderId="0" xfId="1" applyFont="1" applyAlignment="1" applyProtection="1">
      <alignment horizontal="left" vertical="top" wrapText="1"/>
    </xf>
    <xf numFmtId="0" fontId="2" fillId="0" borderId="0" xfId="1" applyFont="1" applyAlignment="1" applyProtection="1">
      <alignment horizontal="justify" vertical="center" wrapText="1"/>
    </xf>
    <xf numFmtId="0" fontId="2" fillId="0" borderId="0" xfId="1" applyFont="1" applyAlignment="1" applyProtection="1">
      <alignment vertical="center" wrapText="1"/>
    </xf>
    <xf numFmtId="0" fontId="3" fillId="0" borderId="0" xfId="1" applyFont="1" applyAlignment="1" applyProtection="1">
      <alignment vertical="center" wrapText="1"/>
    </xf>
    <xf numFmtId="164" fontId="2"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10" fillId="0" borderId="0" xfId="1" applyFont="1" applyProtection="1"/>
    <xf numFmtId="0" fontId="10" fillId="0" borderId="0" xfId="1" applyFont="1" applyAlignment="1" applyProtection="1">
      <alignment vertical="top"/>
    </xf>
    <xf numFmtId="0" fontId="12" fillId="0" borderId="0" xfId="1" applyFont="1" applyProtection="1"/>
    <xf numFmtId="49" fontId="13" fillId="0" borderId="9" xfId="1" applyNumberFormat="1" applyFont="1" applyBorder="1" applyAlignment="1" applyProtection="1">
      <alignment horizontal="center" vertical="center" wrapText="1"/>
    </xf>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164" fontId="3" fillId="0" borderId="0" xfId="1" applyNumberFormat="1" applyFont="1" applyAlignment="1" applyProtection="1">
      <alignment vertical="center" wrapText="1"/>
    </xf>
    <xf numFmtId="164" fontId="6" fillId="0" borderId="0" xfId="1" applyNumberFormat="1" applyFont="1" applyAlignment="1" applyProtection="1">
      <alignment horizontal="left" vertical="center" wrapText="1"/>
    </xf>
    <xf numFmtId="0" fontId="7" fillId="0" borderId="0" xfId="1" applyFont="1" applyAlignment="1" applyProtection="1">
      <alignment vertical="center" wrapText="1"/>
    </xf>
    <xf numFmtId="0" fontId="12" fillId="0" borderId="0" xfId="1" applyFont="1" applyAlignment="1" applyProtection="1">
      <alignment vertical="top"/>
    </xf>
    <xf numFmtId="0" fontId="10" fillId="0" borderId="0" xfId="1" applyFont="1" applyAlignment="1" applyProtection="1">
      <alignment vertical="center"/>
    </xf>
    <xf numFmtId="166" fontId="11" fillId="0" borderId="0" xfId="1" applyNumberFormat="1" applyFont="1" applyAlignment="1" applyProtection="1">
      <alignment vertical="center"/>
    </xf>
    <xf numFmtId="166" fontId="15" fillId="0" borderId="0" xfId="1" applyNumberFormat="1" applyFont="1" applyAlignment="1" applyProtection="1">
      <alignment vertical="center"/>
    </xf>
    <xf numFmtId="0" fontId="14" fillId="0" borderId="0" xfId="1" applyFont="1" applyAlignment="1" applyProtection="1">
      <alignment vertical="center"/>
    </xf>
    <xf numFmtId="0" fontId="12" fillId="0" borderId="0" xfId="1" applyFont="1" applyAlignment="1" applyProtection="1">
      <alignment vertical="center"/>
    </xf>
    <xf numFmtId="166" fontId="14" fillId="0" borderId="0" xfId="1" applyNumberFormat="1" applyFont="1" applyAlignment="1" applyProtection="1">
      <alignment vertical="center"/>
    </xf>
    <xf numFmtId="166" fontId="15" fillId="0" borderId="0" xfId="1" applyNumberFormat="1" applyFont="1" applyFill="1" applyAlignment="1" applyProtection="1">
      <alignment vertical="center"/>
    </xf>
    <xf numFmtId="0" fontId="14" fillId="0" borderId="0" xfId="1" applyFont="1" applyFill="1" applyAlignment="1" applyProtection="1">
      <alignment vertical="center"/>
    </xf>
    <xf numFmtId="0" fontId="12" fillId="0" borderId="0" xfId="1" applyFont="1" applyFill="1" applyAlignment="1" applyProtection="1">
      <alignment vertical="center"/>
    </xf>
    <xf numFmtId="166" fontId="18" fillId="0" borderId="0" xfId="1" applyNumberFormat="1" applyFont="1" applyFill="1" applyAlignment="1" applyProtection="1">
      <alignment vertical="center"/>
    </xf>
    <xf numFmtId="0" fontId="18" fillId="0" borderId="0" xfId="1" applyFont="1" applyFill="1" applyAlignment="1" applyProtection="1">
      <alignment vertical="center"/>
    </xf>
    <xf numFmtId="166" fontId="19" fillId="0" borderId="0" xfId="1" applyNumberFormat="1" applyFont="1" applyFill="1" applyAlignment="1" applyProtection="1">
      <alignment vertical="center"/>
    </xf>
    <xf numFmtId="0" fontId="20" fillId="0" borderId="0" xfId="1" applyFont="1" applyFill="1" applyAlignment="1" applyProtection="1">
      <alignment vertical="center"/>
    </xf>
    <xf numFmtId="0" fontId="19" fillId="0" borderId="0" xfId="1" applyFont="1" applyFill="1" applyAlignment="1" applyProtection="1">
      <alignment vertical="center"/>
    </xf>
    <xf numFmtId="0" fontId="12" fillId="0" borderId="0" xfId="1" applyFont="1" applyFill="1" applyProtection="1"/>
    <xf numFmtId="0" fontId="3" fillId="0" borderId="0" xfId="1" applyFont="1" applyProtection="1"/>
    <xf numFmtId="164" fontId="3" fillId="0" borderId="0" xfId="1" applyNumberFormat="1" applyFont="1" applyAlignment="1" applyProtection="1">
      <alignment horizontal="left" vertical="center" wrapText="1"/>
    </xf>
    <xf numFmtId="164" fontId="13" fillId="0" borderId="0" xfId="1" applyNumberFormat="1" applyFont="1" applyAlignment="1" applyProtection="1">
      <alignment vertical="center" wrapText="1"/>
    </xf>
    <xf numFmtId="164" fontId="13"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0" fontId="13" fillId="0" borderId="9" xfId="1" applyFont="1" applyBorder="1" applyAlignment="1" applyProtection="1">
      <alignment horizontal="center" vertical="center" wrapText="1"/>
    </xf>
    <xf numFmtId="14" fontId="13" fillId="0" borderId="9" xfId="1" applyNumberFormat="1" applyFont="1" applyBorder="1" applyAlignment="1" applyProtection="1">
      <alignment horizontal="center" vertical="center" wrapText="1"/>
    </xf>
    <xf numFmtId="165" fontId="3" fillId="0" borderId="9" xfId="1" applyNumberFormat="1" applyFont="1" applyFill="1" applyBorder="1" applyAlignment="1" applyProtection="1">
      <alignment horizontal="center" vertical="center" wrapText="1"/>
    </xf>
    <xf numFmtId="0" fontId="3" fillId="0" borderId="0" xfId="1" applyFont="1" applyFill="1" applyProtection="1"/>
    <xf numFmtId="0" fontId="13" fillId="0" borderId="0" xfId="1" applyFont="1" applyFill="1" applyAlignment="1" applyProtection="1">
      <alignment vertical="center"/>
    </xf>
    <xf numFmtId="0" fontId="2" fillId="0" borderId="9" xfId="1" applyFont="1" applyFill="1" applyBorder="1" applyAlignment="1" applyProtection="1">
      <alignment vertical="center" wrapText="1"/>
    </xf>
    <xf numFmtId="0" fontId="3" fillId="0" borderId="0" xfId="1" applyFont="1" applyFill="1" applyAlignment="1" applyProtection="1">
      <alignment vertical="center"/>
    </xf>
    <xf numFmtId="0" fontId="2" fillId="0" borderId="9" xfId="1" applyFont="1" applyBorder="1" applyAlignment="1" applyProtection="1">
      <alignment vertical="center"/>
    </xf>
    <xf numFmtId="0" fontId="2" fillId="0" borderId="9" xfId="1" applyFont="1" applyBorder="1" applyAlignment="1" applyProtection="1">
      <alignment vertical="center" wrapText="1"/>
    </xf>
    <xf numFmtId="0" fontId="2" fillId="0" borderId="0" xfId="1" applyFont="1" applyAlignment="1" applyProtection="1">
      <alignment vertical="center"/>
    </xf>
    <xf numFmtId="0" fontId="21" fillId="0" borderId="9" xfId="1" applyFont="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166" fontId="3" fillId="0" borderId="0" xfId="1" applyNumberFormat="1" applyFont="1" applyFill="1" applyAlignment="1" applyProtection="1">
      <alignment vertical="center"/>
    </xf>
    <xf numFmtId="0" fontId="2" fillId="2" borderId="9" xfId="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2" fillId="0" borderId="0" xfId="1" applyFont="1" applyProtection="1"/>
    <xf numFmtId="165" fontId="3" fillId="0" borderId="9" xfId="1" applyNumberFormat="1" applyFont="1" applyBorder="1" applyAlignment="1" applyProtection="1">
      <alignment horizontal="center" vertical="center" wrapText="1"/>
    </xf>
    <xf numFmtId="0" fontId="13" fillId="0" borderId="9" xfId="1" applyFont="1" applyBorder="1" applyAlignment="1" applyProtection="1">
      <alignment horizontal="left" vertical="center" wrapText="1"/>
    </xf>
    <xf numFmtId="166" fontId="13" fillId="0" borderId="9" xfId="1" applyNumberFormat="1" applyFont="1" applyBorder="1" applyAlignment="1" applyProtection="1">
      <alignment horizontal="center" vertical="center"/>
    </xf>
    <xf numFmtId="166" fontId="13" fillId="0" borderId="9" xfId="1" applyNumberFormat="1" applyFont="1" applyBorder="1" applyAlignment="1" applyProtection="1">
      <alignment horizontal="center" vertical="center"/>
      <protection locked="0"/>
    </xf>
    <xf numFmtId="0" fontId="13" fillId="0" borderId="9" xfId="1" applyFont="1" applyBorder="1" applyAlignment="1" applyProtection="1">
      <alignment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protection locked="0"/>
    </xf>
    <xf numFmtId="0" fontId="3" fillId="0" borderId="9" xfId="1" applyFont="1" applyBorder="1" applyAlignment="1" applyProtection="1">
      <alignment vertical="center" wrapText="1"/>
    </xf>
    <xf numFmtId="0" fontId="3" fillId="2" borderId="9" xfId="1" applyFont="1" applyFill="1" applyBorder="1" applyAlignment="1" applyProtection="1">
      <alignment horizontal="left" vertical="center" wrapText="1"/>
    </xf>
    <xf numFmtId="0" fontId="22" fillId="0" borderId="9" xfId="1" applyFont="1" applyBorder="1" applyAlignment="1" applyProtection="1">
      <alignment vertical="center"/>
    </xf>
    <xf numFmtId="166" fontId="3" fillId="0" borderId="9" xfId="1" applyNumberFormat="1" applyFont="1" applyFill="1" applyBorder="1" applyAlignment="1" applyProtection="1">
      <alignment horizontal="center" vertical="center"/>
      <protection locked="0"/>
    </xf>
    <xf numFmtId="0" fontId="24" fillId="0" borderId="9" xfId="1" applyFont="1" applyBorder="1" applyAlignment="1" applyProtection="1">
      <alignment vertical="center"/>
    </xf>
    <xf numFmtId="0" fontId="13" fillId="0" borderId="9" xfId="1" applyFont="1" applyFill="1" applyBorder="1" applyAlignment="1" applyProtection="1">
      <alignment horizontal="left" vertical="center" wrapText="1"/>
    </xf>
    <xf numFmtId="166" fontId="13" fillId="0" borderId="9" xfId="1"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center" vertical="center"/>
      <protection locked="0"/>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166" fontId="3" fillId="0" borderId="9" xfId="1" applyNumberFormat="1" applyFont="1" applyFill="1" applyBorder="1" applyAlignment="1" applyProtection="1">
      <alignment horizontal="center" vertical="center"/>
    </xf>
    <xf numFmtId="0" fontId="3" fillId="0" borderId="9" xfId="1" applyFont="1" applyFill="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2" fillId="2" borderId="9" xfId="1" applyFont="1" applyFill="1" applyBorder="1" applyAlignment="1" applyProtection="1">
      <alignment vertical="center"/>
    </xf>
    <xf numFmtId="166" fontId="2" fillId="0" borderId="0" xfId="1" applyNumberFormat="1" applyFont="1" applyFill="1" applyAlignment="1" applyProtection="1">
      <alignment vertical="center"/>
    </xf>
    <xf numFmtId="0" fontId="2" fillId="0" borderId="0" xfId="1" applyFont="1" applyFill="1" applyAlignment="1" applyProtection="1">
      <alignment vertical="center"/>
    </xf>
    <xf numFmtId="0" fontId="13" fillId="2" borderId="9" xfId="1" applyFont="1" applyFill="1" applyBorder="1" applyAlignment="1" applyProtection="1">
      <alignment horizontal="left" vertical="center" wrapText="1"/>
    </xf>
    <xf numFmtId="166" fontId="13" fillId="2" borderId="9" xfId="1" applyNumberFormat="1" applyFont="1" applyFill="1" applyBorder="1" applyAlignment="1" applyProtection="1">
      <alignment horizontal="center" vertical="center"/>
    </xf>
    <xf numFmtId="166" fontId="13" fillId="2" borderId="9" xfId="1" applyNumberFormat="1" applyFont="1" applyFill="1" applyBorder="1" applyAlignment="1" applyProtection="1">
      <alignment horizontal="center" vertical="center"/>
      <protection locked="0"/>
    </xf>
    <xf numFmtId="0" fontId="13" fillId="2" borderId="9" xfId="1" applyFont="1" applyFill="1" applyBorder="1" applyAlignment="1" applyProtection="1">
      <alignment vertical="center" wrapText="1"/>
    </xf>
    <xf numFmtId="166" fontId="3" fillId="2" borderId="9" xfId="1" applyNumberFormat="1" applyFont="1" applyFill="1" applyBorder="1" applyAlignment="1" applyProtection="1">
      <alignment horizontal="center" vertical="center"/>
    </xf>
    <xf numFmtId="166" fontId="3" fillId="2" borderId="9" xfId="1" applyNumberFormat="1" applyFont="1" applyFill="1" applyBorder="1" applyAlignment="1" applyProtection="1">
      <alignment horizontal="center" vertical="center"/>
      <protection locked="0"/>
    </xf>
    <xf numFmtId="0" fontId="3" fillId="2" borderId="9" xfId="1" applyFont="1" applyFill="1" applyBorder="1" applyAlignment="1" applyProtection="1">
      <alignment vertical="center" wrapText="1"/>
    </xf>
    <xf numFmtId="0" fontId="13" fillId="0" borderId="5" xfId="1" applyFont="1" applyBorder="1" applyAlignment="1" applyProtection="1">
      <alignment horizontal="center" vertical="center"/>
    </xf>
    <xf numFmtId="0" fontId="2" fillId="0" borderId="9" xfId="1" applyFont="1" applyFill="1" applyBorder="1" applyAlignment="1" applyProtection="1">
      <alignment vertical="center"/>
    </xf>
    <xf numFmtId="0" fontId="13" fillId="0" borderId="5" xfId="1" applyFont="1" applyFill="1" applyBorder="1" applyAlignment="1" applyProtection="1">
      <alignment horizontal="center" vertical="center"/>
    </xf>
    <xf numFmtId="0" fontId="24" fillId="0" borderId="9" xfId="1" applyFont="1" applyBorder="1" applyProtection="1"/>
    <xf numFmtId="0" fontId="24" fillId="0" borderId="0" xfId="1" applyFont="1" applyProtection="1"/>
    <xf numFmtId="164" fontId="21" fillId="0" borderId="0" xfId="1" applyNumberFormat="1" applyFont="1" applyAlignment="1" applyProtection="1">
      <alignment vertical="center" wrapText="1"/>
    </xf>
    <xf numFmtId="164" fontId="21" fillId="0" borderId="1" xfId="1" applyNumberFormat="1" applyFont="1" applyBorder="1" applyAlignment="1" applyProtection="1">
      <alignment vertical="center" wrapText="1"/>
    </xf>
    <xf numFmtId="164" fontId="2" fillId="0" borderId="1" xfId="1" applyNumberFormat="1" applyFont="1" applyBorder="1" applyAlignment="1" applyProtection="1">
      <alignment horizontal="right" vertical="center" wrapText="1"/>
    </xf>
    <xf numFmtId="164" fontId="2" fillId="0" borderId="0" xfId="1" applyNumberFormat="1" applyFont="1" applyAlignment="1" applyProtection="1">
      <alignment horizontal="left" vertical="center" wrapText="1"/>
    </xf>
    <xf numFmtId="0" fontId="13" fillId="0" borderId="9" xfId="1" applyFont="1" applyBorder="1" applyAlignment="1" applyProtection="1">
      <alignment horizontal="left" vertical="top" wrapText="1"/>
    </xf>
    <xf numFmtId="166" fontId="13" fillId="0" borderId="9" xfId="1" applyNumberFormat="1" applyFont="1" applyBorder="1" applyAlignment="1" applyProtection="1">
      <alignment horizontal="center"/>
    </xf>
    <xf numFmtId="166" fontId="13" fillId="0" borderId="9" xfId="1" applyNumberFormat="1" applyFont="1" applyBorder="1" applyAlignment="1" applyProtection="1">
      <alignment horizontal="center"/>
      <protection locked="0"/>
    </xf>
    <xf numFmtId="0" fontId="13" fillId="0" borderId="0" xfId="1" applyFont="1" applyProtection="1"/>
    <xf numFmtId="0" fontId="3" fillId="0" borderId="9" xfId="1" applyFont="1" applyBorder="1" applyAlignment="1" applyProtection="1">
      <alignment horizontal="left" vertical="top" wrapText="1"/>
    </xf>
    <xf numFmtId="166" fontId="3" fillId="0" borderId="9" xfId="1" applyNumberFormat="1" applyFont="1" applyBorder="1" applyAlignment="1" applyProtection="1">
      <alignment horizontal="center"/>
    </xf>
    <xf numFmtId="166" fontId="3" fillId="0" borderId="9" xfId="1" applyNumberFormat="1" applyFont="1" applyBorder="1" applyAlignment="1" applyProtection="1">
      <alignment horizontal="center"/>
      <protection locked="0"/>
    </xf>
    <xf numFmtId="0" fontId="3" fillId="0" borderId="9" xfId="1" applyFont="1" applyBorder="1" applyProtection="1"/>
    <xf numFmtId="166" fontId="13" fillId="0" borderId="0" xfId="1" applyNumberFormat="1" applyFont="1" applyProtection="1"/>
    <xf numFmtId="166" fontId="3" fillId="0" borderId="0" xfId="1" applyNumberFormat="1" applyFont="1" applyProtection="1"/>
    <xf numFmtId="0" fontId="3" fillId="0" borderId="9" xfId="1" applyFont="1" applyBorder="1" applyAlignment="1" applyProtection="1">
      <alignment vertical="center"/>
    </xf>
    <xf numFmtId="0" fontId="13" fillId="0" borderId="9" xfId="1" applyFont="1" applyFill="1" applyBorder="1" applyAlignment="1" applyProtection="1">
      <alignment horizontal="left" vertical="top" wrapText="1"/>
    </xf>
    <xf numFmtId="166" fontId="13" fillId="0" borderId="9"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protection locked="0"/>
    </xf>
    <xf numFmtId="0" fontId="3" fillId="0" borderId="9" xfId="1" applyFont="1" applyBorder="1" applyAlignment="1" applyProtection="1">
      <alignment horizontal="justify" vertical="center" wrapText="1"/>
    </xf>
    <xf numFmtId="0" fontId="3" fillId="0" borderId="9" xfId="1" applyFont="1" applyFill="1" applyBorder="1" applyAlignment="1" applyProtection="1">
      <alignment horizontal="left" vertical="top" wrapText="1"/>
    </xf>
    <xf numFmtId="166" fontId="3" fillId="0" borderId="9" xfId="1" applyNumberFormat="1" applyFont="1" applyFill="1" applyBorder="1" applyAlignment="1" applyProtection="1">
      <alignment horizontal="center"/>
    </xf>
    <xf numFmtId="166" fontId="3" fillId="0" borderId="9" xfId="1" applyNumberFormat="1" applyFont="1" applyFill="1" applyBorder="1" applyAlignment="1" applyProtection="1">
      <alignment horizontal="center"/>
      <protection locked="0"/>
    </xf>
    <xf numFmtId="0" fontId="21"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25" fillId="0" borderId="0" xfId="1" applyFont="1" applyAlignment="1" applyProtection="1">
      <alignment horizontal="left" vertical="top" wrapText="1"/>
    </xf>
    <xf numFmtId="0" fontId="3" fillId="0" borderId="0" xfId="1" applyFont="1" applyFill="1" applyAlignment="1" applyProtection="1">
      <alignment horizontal="justify" vertical="center" wrapText="1"/>
    </xf>
    <xf numFmtId="0" fontId="13" fillId="0" borderId="9" xfId="1" applyFont="1" applyFill="1" applyBorder="1" applyAlignment="1" applyProtection="1">
      <alignment horizontal="center" vertical="center" wrapText="1"/>
    </xf>
    <xf numFmtId="165" fontId="25" fillId="0" borderId="9" xfId="1" applyNumberFormat="1" applyFont="1" applyFill="1" applyBorder="1" applyAlignment="1" applyProtection="1">
      <alignment horizontal="center" vertical="center" wrapText="1"/>
    </xf>
    <xf numFmtId="0" fontId="26" fillId="0" borderId="9" xfId="1" applyFont="1" applyFill="1" applyBorder="1" applyAlignment="1" applyProtection="1">
      <alignment horizontal="left" vertical="center" wrapText="1"/>
    </xf>
    <xf numFmtId="0" fontId="25" fillId="0" borderId="9" xfId="1" applyFont="1" applyFill="1" applyBorder="1" applyAlignment="1" applyProtection="1">
      <alignment horizontal="left" vertical="center" wrapText="1"/>
    </xf>
    <xf numFmtId="0" fontId="26" fillId="0" borderId="9" xfId="1" applyFont="1" applyBorder="1" applyAlignment="1" applyProtection="1">
      <alignment horizontal="left" vertical="center" wrapText="1"/>
    </xf>
    <xf numFmtId="0" fontId="25" fillId="0" borderId="9" xfId="1" applyFont="1" applyBorder="1" applyAlignment="1" applyProtection="1">
      <alignment horizontal="left" vertical="center" wrapText="1"/>
    </xf>
    <xf numFmtId="0" fontId="13" fillId="0" borderId="5" xfId="1" applyFont="1" applyBorder="1" applyAlignment="1" applyProtection="1">
      <alignment vertical="center"/>
    </xf>
    <xf numFmtId="0" fontId="13" fillId="0" borderId="8" xfId="1" applyFont="1" applyBorder="1" applyAlignment="1" applyProtection="1">
      <alignment vertical="center"/>
    </xf>
    <xf numFmtId="0" fontId="3" fillId="0" borderId="9" xfId="1" applyFont="1" applyFill="1" applyBorder="1" applyAlignment="1" applyProtection="1">
      <alignment vertical="center"/>
    </xf>
    <xf numFmtId="0" fontId="10" fillId="0" borderId="0" xfId="1" applyFont="1" applyFill="1" applyProtection="1"/>
    <xf numFmtId="0" fontId="29" fillId="0" borderId="0" xfId="1" applyFont="1" applyAlignment="1" applyProtection="1">
      <alignment vertical="center"/>
    </xf>
    <xf numFmtId="0" fontId="23" fillId="0" borderId="9" xfId="1" applyFont="1" applyFill="1" applyBorder="1" applyAlignment="1" applyProtection="1">
      <alignment horizontal="center" vertical="center"/>
    </xf>
    <xf numFmtId="166" fontId="11" fillId="0" borderId="0" xfId="1" applyNumberFormat="1" applyFont="1" applyFill="1" applyAlignment="1" applyProtection="1">
      <alignment vertical="center"/>
    </xf>
    <xf numFmtId="0" fontId="10" fillId="0" borderId="0" xfId="1" applyFont="1" applyFill="1" applyAlignment="1" applyProtection="1">
      <alignment vertical="center"/>
    </xf>
    <xf numFmtId="0" fontId="13" fillId="0" borderId="9" xfId="1" applyFont="1" applyFill="1" applyBorder="1" applyAlignment="1" applyProtection="1">
      <alignment horizontal="center" vertical="center"/>
    </xf>
    <xf numFmtId="166" fontId="2" fillId="0" borderId="0" xfId="1" applyNumberFormat="1" applyFont="1" applyProtection="1"/>
    <xf numFmtId="0" fontId="21" fillId="0" borderId="0" xfId="1" applyFont="1" applyProtection="1"/>
    <xf numFmtId="0" fontId="2" fillId="0" borderId="9" xfId="1" applyFont="1" applyBorder="1" applyAlignment="1" applyProtection="1">
      <alignment horizontal="justify" vertical="center" wrapText="1"/>
    </xf>
    <xf numFmtId="0" fontId="30" fillId="0" borderId="9" xfId="1" applyFont="1" applyBorder="1" applyAlignment="1" applyProtection="1">
      <alignment horizontal="left" vertical="center" wrapText="1"/>
    </xf>
    <xf numFmtId="166" fontId="2" fillId="0" borderId="9" xfId="1" applyNumberFormat="1" applyFont="1" applyFill="1" applyBorder="1" applyAlignment="1" applyProtection="1">
      <alignment horizontal="center" vertical="center"/>
    </xf>
    <xf numFmtId="166" fontId="2" fillId="0" borderId="9" xfId="1" applyNumberFormat="1" applyFont="1" applyBorder="1" applyAlignment="1" applyProtection="1">
      <alignment horizontal="center" vertical="center"/>
    </xf>
    <xf numFmtId="166" fontId="2" fillId="0" borderId="9" xfId="1" applyNumberFormat="1" applyFont="1" applyFill="1" applyBorder="1" applyAlignment="1" applyProtection="1">
      <alignment horizontal="center" vertical="center"/>
      <protection locked="0"/>
    </xf>
    <xf numFmtId="0" fontId="31" fillId="0" borderId="9" xfId="1" applyFont="1" applyBorder="1" applyAlignment="1" applyProtection="1">
      <alignment vertical="center" wrapText="1"/>
    </xf>
    <xf numFmtId="0" fontId="32" fillId="0" borderId="9" xfId="1" applyFont="1" applyBorder="1" applyAlignment="1" applyProtection="1">
      <alignment vertical="center" wrapText="1"/>
    </xf>
    <xf numFmtId="0" fontId="22" fillId="0" borderId="0" xfId="1" applyFont="1" applyFill="1" applyProtection="1"/>
    <xf numFmtId="164" fontId="13" fillId="0" borderId="0" xfId="1" applyNumberFormat="1" applyFont="1" applyFill="1" applyAlignment="1" applyProtection="1">
      <alignment vertical="center" wrapText="1"/>
    </xf>
    <xf numFmtId="164" fontId="13"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49" fontId="13" fillId="0" borderId="9" xfId="1" applyNumberFormat="1" applyFont="1" applyFill="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0" borderId="5" xfId="1" applyFont="1" applyBorder="1" applyAlignment="1" applyProtection="1">
      <alignment horizontal="center" vertical="center"/>
    </xf>
    <xf numFmtId="0" fontId="21" fillId="0" borderId="5" xfId="1" applyFont="1" applyBorder="1" applyAlignment="1" applyProtection="1">
      <alignment horizontal="center" vertical="center"/>
    </xf>
    <xf numFmtId="166" fontId="2" fillId="0" borderId="9" xfId="1" applyNumberFormat="1" applyFont="1" applyBorder="1" applyAlignment="1" applyProtection="1">
      <alignment horizontal="center" vertical="center"/>
      <protection locked="0"/>
    </xf>
    <xf numFmtId="0" fontId="21" fillId="0" borderId="9" xfId="1" applyFont="1" applyFill="1" applyBorder="1" applyAlignment="1" applyProtection="1">
      <alignment vertical="center" wrapText="1"/>
    </xf>
    <xf numFmtId="0" fontId="23" fillId="0" borderId="9" xfId="1" applyFont="1" applyBorder="1" applyAlignment="1" applyProtection="1">
      <alignment horizontal="center" vertical="center"/>
    </xf>
    <xf numFmtId="166" fontId="29" fillId="0" borderId="0" xfId="1" applyNumberFormat="1" applyFont="1" applyAlignment="1" applyProtection="1">
      <alignment vertical="center"/>
    </xf>
    <xf numFmtId="166" fontId="3" fillId="0" borderId="9" xfId="1" applyNumberFormat="1" applyFont="1" applyFill="1" applyBorder="1" applyAlignment="1" applyProtection="1">
      <alignment horizontal="center" vertical="center" wrapText="1"/>
      <protection locked="0"/>
    </xf>
    <xf numFmtId="166" fontId="3" fillId="0" borderId="0" xfId="1" applyNumberFormat="1" applyFont="1" applyAlignment="1" applyProtection="1">
      <alignment horizontal="justify" vertical="center" wrapText="1"/>
    </xf>
    <xf numFmtId="166" fontId="14" fillId="0" borderId="0" xfId="1" applyNumberFormat="1" applyFont="1" applyFill="1" applyAlignment="1" applyProtection="1">
      <alignment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2" fillId="0" borderId="5" xfId="1" applyFont="1" applyBorder="1" applyAlignment="1" applyProtection="1">
      <alignment horizontal="center" vertical="center"/>
    </xf>
    <xf numFmtId="0" fontId="36" fillId="0" borderId="9" xfId="1" applyFont="1" applyBorder="1" applyAlignment="1" applyProtection="1">
      <alignment horizontal="left" vertical="center" wrapText="1"/>
    </xf>
    <xf numFmtId="166" fontId="35" fillId="0" borderId="9" xfId="1" applyNumberFormat="1" applyFont="1" applyFill="1" applyBorder="1" applyAlignment="1" applyProtection="1">
      <alignment horizontal="center" vertical="center"/>
    </xf>
    <xf numFmtId="166" fontId="35" fillId="0" borderId="9" xfId="1" applyNumberFormat="1" applyFont="1" applyBorder="1" applyAlignment="1" applyProtection="1">
      <alignment horizontal="center" vertical="center"/>
    </xf>
    <xf numFmtId="0" fontId="35" fillId="0" borderId="9" xfId="1" applyFont="1" applyBorder="1" applyAlignment="1" applyProtection="1">
      <alignment vertical="center" wrapText="1"/>
    </xf>
    <xf numFmtId="166" fontId="34" fillId="0" borderId="0" xfId="1" applyNumberFormat="1" applyFont="1" applyAlignment="1" applyProtection="1">
      <alignment vertical="center"/>
    </xf>
    <xf numFmtId="0" fontId="34" fillId="0" borderId="0" xfId="1" applyFont="1" applyAlignment="1" applyProtection="1">
      <alignment vertical="center"/>
    </xf>
    <xf numFmtId="0" fontId="37" fillId="0" borderId="9" xfId="1" applyFont="1" applyBorder="1" applyAlignment="1" applyProtection="1">
      <alignment horizontal="left" vertical="center" wrapText="1"/>
    </xf>
    <xf numFmtId="166" fontId="38" fillId="0" borderId="9" xfId="1" applyNumberFormat="1" applyFont="1" applyFill="1" applyBorder="1" applyAlignment="1" applyProtection="1">
      <alignment horizontal="center" vertical="center"/>
    </xf>
    <xf numFmtId="166" fontId="38" fillId="0" borderId="9" xfId="1" applyNumberFormat="1" applyFont="1" applyBorder="1" applyAlignment="1" applyProtection="1">
      <alignment horizontal="center" vertical="center"/>
    </xf>
    <xf numFmtId="0" fontId="38" fillId="0" borderId="9" xfId="1" applyFont="1" applyBorder="1" applyAlignment="1" applyProtection="1">
      <alignment vertical="center" wrapText="1"/>
    </xf>
    <xf numFmtId="166" fontId="39" fillId="0" borderId="0" xfId="1" applyNumberFormat="1" applyFont="1" applyAlignment="1" applyProtection="1">
      <alignment vertical="center"/>
    </xf>
    <xf numFmtId="0" fontId="1" fillId="0" borderId="0" xfId="1" applyFont="1" applyAlignment="1" applyProtection="1">
      <alignment vertical="center"/>
    </xf>
    <xf numFmtId="166" fontId="35" fillId="0" borderId="9" xfId="1" applyNumberFormat="1" applyFont="1" applyBorder="1" applyAlignment="1" applyProtection="1">
      <alignment horizontal="center" vertical="center"/>
      <protection locked="0"/>
    </xf>
    <xf numFmtId="166" fontId="38" fillId="0" borderId="9" xfId="1" applyNumberFormat="1" applyFont="1" applyBorder="1" applyAlignment="1" applyProtection="1">
      <alignment horizontal="center" vertical="center"/>
      <protection locked="0"/>
    </xf>
    <xf numFmtId="0" fontId="38" fillId="0" borderId="5" xfId="1" applyFont="1" applyBorder="1" applyAlignment="1" applyProtection="1">
      <alignment horizontal="center" vertical="center"/>
    </xf>
    <xf numFmtId="0" fontId="13" fillId="0" borderId="9" xfId="1" applyFont="1" applyBorder="1" applyAlignment="1" applyProtection="1">
      <alignment horizontal="justify" vertical="center" wrapText="1"/>
    </xf>
    <xf numFmtId="0" fontId="13" fillId="0" borderId="9" xfId="1" applyNumberFormat="1" applyFont="1" applyFill="1" applyBorder="1" applyAlignment="1" applyProtection="1">
      <alignment horizontal="justify" vertical="center"/>
    </xf>
    <xf numFmtId="166" fontId="3" fillId="3" borderId="9" xfId="1" applyNumberFormat="1" applyFont="1" applyFill="1" applyBorder="1" applyAlignment="1" applyProtection="1">
      <alignment horizontal="center"/>
    </xf>
    <xf numFmtId="166" fontId="3" fillId="3" borderId="9" xfId="1" applyNumberFormat="1" applyFont="1" applyFill="1" applyBorder="1" applyAlignment="1" applyProtection="1">
      <alignment horizontal="center"/>
      <protection locked="0"/>
    </xf>
    <xf numFmtId="0" fontId="26" fillId="4" borderId="9" xfId="1" applyFont="1" applyFill="1" applyBorder="1" applyAlignment="1" applyProtection="1">
      <alignment horizontal="left" vertical="center" wrapText="1"/>
    </xf>
    <xf numFmtId="166" fontId="13" fillId="4" borderId="9" xfId="1" applyNumberFormat="1" applyFont="1" applyFill="1" applyBorder="1" applyAlignment="1" applyProtection="1">
      <alignment horizontal="center" vertical="center"/>
    </xf>
    <xf numFmtId="166" fontId="13" fillId="4" borderId="9" xfId="1" applyNumberFormat="1" applyFont="1" applyFill="1" applyBorder="1" applyAlignment="1" applyProtection="1">
      <alignment horizontal="center" vertical="center"/>
      <protection locked="0"/>
    </xf>
    <xf numFmtId="0" fontId="25" fillId="4" borderId="9" xfId="1" applyFont="1" applyFill="1" applyBorder="1" applyAlignment="1" applyProtection="1">
      <alignment horizontal="left" vertical="center" wrapText="1"/>
    </xf>
    <xf numFmtId="166" fontId="3" fillId="4" borderId="9" xfId="1" applyNumberFormat="1" applyFont="1" applyFill="1" applyBorder="1" applyAlignment="1" applyProtection="1">
      <alignment horizontal="center" vertical="center"/>
    </xf>
    <xf numFmtId="0" fontId="26" fillId="5" borderId="9" xfId="1" applyFont="1" applyFill="1" applyBorder="1" applyAlignment="1" applyProtection="1">
      <alignment horizontal="left" vertical="center" wrapText="1"/>
    </xf>
    <xf numFmtId="166" fontId="13" fillId="5" borderId="9" xfId="1" applyNumberFormat="1" applyFont="1" applyFill="1" applyBorder="1" applyAlignment="1" applyProtection="1">
      <alignment horizontal="center" vertical="center"/>
    </xf>
    <xf numFmtId="166" fontId="13" fillId="5" borderId="9" xfId="1" applyNumberFormat="1" applyFont="1" applyFill="1" applyBorder="1" applyAlignment="1" applyProtection="1">
      <alignment horizontal="center" vertical="center"/>
      <protection locked="0"/>
    </xf>
    <xf numFmtId="0" fontId="25" fillId="5" borderId="9" xfId="1" applyFont="1" applyFill="1" applyBorder="1" applyAlignment="1" applyProtection="1">
      <alignment horizontal="left" vertical="center" wrapText="1"/>
    </xf>
    <xf numFmtId="166" fontId="3" fillId="5" borderId="9" xfId="1" applyNumberFormat="1" applyFont="1" applyFill="1" applyBorder="1" applyAlignment="1" applyProtection="1">
      <alignment horizontal="center" vertical="center"/>
    </xf>
    <xf numFmtId="166" fontId="3" fillId="4" borderId="9"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wrapText="1"/>
    </xf>
    <xf numFmtId="166" fontId="35" fillId="4" borderId="9" xfId="1" applyNumberFormat="1" applyFont="1" applyFill="1" applyBorder="1" applyAlignment="1" applyProtection="1">
      <alignment horizontal="center" vertical="center"/>
    </xf>
    <xf numFmtId="0" fontId="37" fillId="4" borderId="2" xfId="1" applyFont="1" applyFill="1" applyBorder="1" applyAlignment="1" applyProtection="1">
      <alignment horizontal="left" vertical="center" wrapText="1"/>
    </xf>
    <xf numFmtId="166" fontId="38" fillId="4" borderId="2" xfId="1" applyNumberFormat="1" applyFont="1" applyFill="1" applyBorder="1" applyAlignment="1" applyProtection="1">
      <alignment horizontal="center" vertical="center"/>
    </xf>
    <xf numFmtId="166" fontId="38" fillId="4" borderId="2" xfId="1" applyNumberFormat="1" applyFont="1" applyFill="1" applyBorder="1" applyAlignment="1" applyProtection="1">
      <alignment horizontal="center" vertical="center"/>
      <protection locked="0"/>
    </xf>
    <xf numFmtId="0" fontId="3" fillId="0" borderId="8" xfId="1" applyFont="1" applyBorder="1" applyAlignment="1" applyProtection="1">
      <alignment vertical="center" wrapText="1"/>
    </xf>
    <xf numFmtId="0" fontId="35" fillId="4" borderId="9" xfId="1" applyFont="1" applyFill="1" applyBorder="1" applyAlignment="1" applyProtection="1">
      <alignment vertical="center" wrapText="1"/>
    </xf>
    <xf numFmtId="0" fontId="38" fillId="4" borderId="9" xfId="1" applyFont="1" applyFill="1" applyBorder="1" applyAlignment="1" applyProtection="1">
      <alignment vertical="center" wrapText="1"/>
    </xf>
    <xf numFmtId="0" fontId="13" fillId="4" borderId="9" xfId="1" applyFont="1" applyFill="1" applyBorder="1" applyAlignment="1" applyProtection="1">
      <alignment vertical="center" wrapText="1"/>
    </xf>
    <xf numFmtId="0" fontId="2" fillId="7" borderId="0" xfId="1" applyFont="1" applyFill="1" applyAlignment="1" applyProtection="1">
      <alignment vertical="center" wrapText="1"/>
    </xf>
    <xf numFmtId="49" fontId="13" fillId="7" borderId="9" xfId="1" applyNumberFormat="1" applyFont="1" applyFill="1" applyBorder="1" applyAlignment="1" applyProtection="1">
      <alignment horizontal="center" vertical="center" wrapText="1"/>
    </xf>
    <xf numFmtId="165" fontId="3" fillId="7" borderId="9" xfId="1" applyNumberFormat="1" applyFont="1" applyFill="1" applyBorder="1" applyAlignment="1" applyProtection="1">
      <alignment horizontal="center" vertical="center" wrapText="1"/>
    </xf>
    <xf numFmtId="166" fontId="13" fillId="7" borderId="9" xfId="1" applyNumberFormat="1" applyFont="1" applyFill="1" applyBorder="1" applyAlignment="1" applyProtection="1">
      <alignment horizontal="center" vertical="center"/>
      <protection locked="0"/>
    </xf>
    <xf numFmtId="166" fontId="13" fillId="7" borderId="9" xfId="1" applyNumberFormat="1" applyFont="1" applyFill="1" applyBorder="1" applyAlignment="1" applyProtection="1">
      <alignment horizontal="center" vertical="center"/>
    </xf>
    <xf numFmtId="166" fontId="3" fillId="7" borderId="9" xfId="1" applyNumberFormat="1" applyFont="1" applyFill="1" applyBorder="1" applyAlignment="1" applyProtection="1">
      <alignment horizontal="center" vertical="center"/>
      <protection locked="0"/>
    </xf>
    <xf numFmtId="0" fontId="10" fillId="7" borderId="0" xfId="1" applyFont="1" applyFill="1" applyProtection="1"/>
    <xf numFmtId="0" fontId="13" fillId="8" borderId="9" xfId="1" applyFont="1" applyFill="1" applyBorder="1" applyAlignment="1" applyProtection="1">
      <alignment horizontal="left" vertical="center" wrapText="1"/>
    </xf>
    <xf numFmtId="166" fontId="13" fillId="8" borderId="9" xfId="1" applyNumberFormat="1" applyFont="1" applyFill="1" applyBorder="1" applyAlignment="1" applyProtection="1">
      <alignment horizontal="center" vertical="center"/>
      <protection locked="0"/>
    </xf>
    <xf numFmtId="0" fontId="14" fillId="8" borderId="0" xfId="1" applyFont="1" applyFill="1" applyAlignment="1" applyProtection="1">
      <alignment vertical="center"/>
    </xf>
    <xf numFmtId="0" fontId="13" fillId="9" borderId="9" xfId="1" applyFont="1" applyFill="1" applyBorder="1" applyAlignment="1" applyProtection="1">
      <alignment horizontal="left" vertical="center" wrapText="1"/>
    </xf>
    <xf numFmtId="166" fontId="13" fillId="9" borderId="9" xfId="1" applyNumberFormat="1" applyFont="1" applyFill="1" applyBorder="1" applyAlignment="1" applyProtection="1">
      <alignment horizontal="center" vertical="center"/>
      <protection locked="0"/>
    </xf>
    <xf numFmtId="166" fontId="14" fillId="9" borderId="0" xfId="1" applyNumberFormat="1" applyFont="1" applyFill="1" applyAlignment="1" applyProtection="1">
      <alignment vertical="center"/>
    </xf>
    <xf numFmtId="0" fontId="14" fillId="9" borderId="0" xfId="1" applyFont="1" applyFill="1" applyAlignment="1" applyProtection="1">
      <alignment vertical="center"/>
    </xf>
    <xf numFmtId="166" fontId="13" fillId="8" borderId="9" xfId="1" applyNumberFormat="1" applyFont="1" applyFill="1" applyBorder="1" applyAlignment="1" applyProtection="1">
      <alignment horizontal="center" vertical="center"/>
    </xf>
    <xf numFmtId="166" fontId="15" fillId="8" borderId="0" xfId="1" applyNumberFormat="1" applyFont="1" applyFill="1" applyAlignment="1" applyProtection="1">
      <alignment vertical="center"/>
    </xf>
    <xf numFmtId="0" fontId="13" fillId="10" borderId="9" xfId="1" applyFont="1" applyFill="1" applyBorder="1" applyAlignment="1" applyProtection="1">
      <alignment horizontal="left" vertical="center" wrapText="1"/>
    </xf>
    <xf numFmtId="166" fontId="13" fillId="10" borderId="9" xfId="1" applyNumberFormat="1" applyFont="1" applyFill="1" applyBorder="1" applyAlignment="1" applyProtection="1">
      <alignment horizontal="center" vertical="center"/>
    </xf>
    <xf numFmtId="166" fontId="13" fillId="10" borderId="9" xfId="1" applyNumberFormat="1" applyFont="1" applyFill="1" applyBorder="1" applyAlignment="1" applyProtection="1">
      <alignment horizontal="center" vertical="center"/>
      <protection locked="0"/>
    </xf>
    <xf numFmtId="166" fontId="15" fillId="10" borderId="0" xfId="1" applyNumberFormat="1" applyFont="1" applyFill="1" applyAlignment="1" applyProtection="1">
      <alignment vertical="center"/>
    </xf>
    <xf numFmtId="0" fontId="14" fillId="10" borderId="0" xfId="1" applyFont="1" applyFill="1" applyAlignment="1" applyProtection="1">
      <alignment vertical="center"/>
    </xf>
    <xf numFmtId="0" fontId="13" fillId="11" borderId="9" xfId="1" applyFont="1" applyFill="1" applyBorder="1" applyAlignment="1" applyProtection="1">
      <alignment horizontal="left" vertical="center" wrapText="1"/>
    </xf>
    <xf numFmtId="166" fontId="13" fillId="11" borderId="9" xfId="1" applyNumberFormat="1" applyFont="1" applyFill="1" applyBorder="1" applyAlignment="1" applyProtection="1">
      <alignment horizontal="center" vertical="center"/>
    </xf>
    <xf numFmtId="166" fontId="13" fillId="11" borderId="9" xfId="1" applyNumberFormat="1" applyFont="1" applyFill="1" applyBorder="1" applyAlignment="1" applyProtection="1">
      <alignment horizontal="center" vertical="center"/>
      <protection locked="0"/>
    </xf>
    <xf numFmtId="0" fontId="13" fillId="11" borderId="9" xfId="1" applyFont="1" applyFill="1" applyBorder="1" applyAlignment="1" applyProtection="1">
      <alignment vertical="center" wrapText="1"/>
    </xf>
    <xf numFmtId="166" fontId="15" fillId="11" borderId="0" xfId="1" applyNumberFormat="1" applyFont="1" applyFill="1" applyAlignment="1" applyProtection="1">
      <alignment vertical="center"/>
    </xf>
    <xf numFmtId="0" fontId="14" fillId="11" borderId="0" xfId="1" applyFont="1" applyFill="1" applyAlignment="1" applyProtection="1">
      <alignment vertical="center"/>
    </xf>
    <xf numFmtId="0" fontId="13" fillId="12" borderId="9" xfId="1" applyFont="1" applyFill="1" applyBorder="1" applyAlignment="1" applyProtection="1">
      <alignment horizontal="left" vertical="center" wrapText="1"/>
    </xf>
    <xf numFmtId="166" fontId="13" fillId="12" borderId="9" xfId="1" applyNumberFormat="1" applyFont="1" applyFill="1" applyBorder="1" applyAlignment="1" applyProtection="1">
      <alignment horizontal="center" vertical="center"/>
    </xf>
    <xf numFmtId="166" fontId="13" fillId="12" borderId="9" xfId="1" applyNumberFormat="1" applyFont="1" applyFill="1" applyBorder="1" applyAlignment="1" applyProtection="1">
      <alignment horizontal="center" vertical="center"/>
      <protection locked="0"/>
    </xf>
    <xf numFmtId="0" fontId="13" fillId="12" borderId="9" xfId="1" applyFont="1" applyFill="1" applyBorder="1" applyAlignment="1" applyProtection="1">
      <alignment vertical="center" wrapText="1"/>
    </xf>
    <xf numFmtId="166" fontId="11" fillId="12" borderId="0" xfId="1" applyNumberFormat="1" applyFont="1" applyFill="1" applyAlignment="1" applyProtection="1">
      <alignment vertical="center"/>
    </xf>
    <xf numFmtId="0" fontId="29" fillId="12" borderId="0" xfId="1" applyFont="1" applyFill="1" applyAlignment="1" applyProtection="1">
      <alignment vertical="center"/>
    </xf>
    <xf numFmtId="0" fontId="13" fillId="6" borderId="9" xfId="1" applyFont="1" applyFill="1" applyBorder="1" applyAlignment="1" applyProtection="1">
      <alignment horizontal="left" vertical="center" wrapText="1"/>
    </xf>
    <xf numFmtId="166" fontId="13" fillId="6" borderId="9" xfId="1" applyNumberFormat="1" applyFont="1" applyFill="1" applyBorder="1" applyAlignment="1" applyProtection="1">
      <alignment horizontal="center" vertical="center"/>
    </xf>
    <xf numFmtId="166" fontId="13" fillId="6" borderId="9" xfId="1" applyNumberFormat="1" applyFont="1" applyFill="1" applyBorder="1" applyAlignment="1" applyProtection="1">
      <alignment horizontal="center" vertical="center"/>
      <protection locked="0"/>
    </xf>
    <xf numFmtId="0" fontId="13" fillId="6" borderId="9" xfId="1" applyFont="1" applyFill="1" applyBorder="1" applyAlignment="1" applyProtection="1">
      <alignment vertical="center" wrapText="1"/>
    </xf>
    <xf numFmtId="0" fontId="13" fillId="13" borderId="9" xfId="1" applyFont="1" applyFill="1" applyBorder="1" applyAlignment="1" applyProtection="1">
      <alignment horizontal="left" vertical="center" wrapText="1"/>
    </xf>
    <xf numFmtId="166" fontId="13" fillId="13" borderId="9" xfId="1" applyNumberFormat="1" applyFont="1" applyFill="1" applyBorder="1" applyAlignment="1" applyProtection="1">
      <alignment horizontal="center" vertical="center"/>
    </xf>
    <xf numFmtId="166" fontId="13" fillId="13"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horizontal="left" vertical="center" wrapText="1"/>
    </xf>
    <xf numFmtId="166" fontId="13" fillId="14" borderId="9" xfId="1" applyNumberFormat="1" applyFont="1" applyFill="1" applyBorder="1" applyAlignment="1" applyProtection="1">
      <alignment horizontal="center" vertical="center"/>
    </xf>
    <xf numFmtId="166" fontId="13" fillId="14"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vertical="center" wrapText="1"/>
    </xf>
    <xf numFmtId="166" fontId="11" fillId="14" borderId="0" xfId="1" applyNumberFormat="1" applyFont="1" applyFill="1" applyAlignment="1" applyProtection="1">
      <alignment vertical="center"/>
    </xf>
    <xf numFmtId="0" fontId="29" fillId="14" borderId="0" xfId="1" applyFont="1" applyFill="1" applyAlignment="1" applyProtection="1">
      <alignment vertical="center"/>
    </xf>
    <xf numFmtId="0" fontId="13" fillId="15" borderId="9" xfId="1" applyFont="1" applyFill="1" applyBorder="1" applyAlignment="1" applyProtection="1">
      <alignment horizontal="left" vertical="center" wrapText="1"/>
    </xf>
    <xf numFmtId="166" fontId="13" fillId="15" borderId="9" xfId="1" applyNumberFormat="1" applyFont="1" applyFill="1" applyBorder="1" applyAlignment="1" applyProtection="1">
      <alignment horizontal="center" vertical="center"/>
    </xf>
    <xf numFmtId="166" fontId="13" fillId="15" borderId="9" xfId="1" applyNumberFormat="1" applyFont="1" applyFill="1" applyBorder="1" applyAlignment="1" applyProtection="1">
      <alignment horizontal="center" vertical="center"/>
      <protection locked="0"/>
    </xf>
    <xf numFmtId="166" fontId="11" fillId="15" borderId="0" xfId="1" applyNumberFormat="1" applyFont="1" applyFill="1" applyAlignment="1" applyProtection="1">
      <alignment vertical="center"/>
    </xf>
    <xf numFmtId="0" fontId="29" fillId="15" borderId="0" xfId="1" applyFont="1" applyFill="1" applyAlignment="1" applyProtection="1">
      <alignment vertical="center"/>
    </xf>
    <xf numFmtId="166" fontId="11" fillId="11" borderId="0" xfId="1" applyNumberFormat="1" applyFont="1" applyFill="1" applyAlignment="1" applyProtection="1">
      <alignment vertical="center"/>
    </xf>
    <xf numFmtId="0" fontId="29" fillId="11" borderId="0" xfId="1" applyFont="1" applyFill="1" applyAlignment="1" applyProtection="1">
      <alignment vertical="center"/>
    </xf>
    <xf numFmtId="166" fontId="15" fillId="13" borderId="0" xfId="1" applyNumberFormat="1" applyFont="1" applyFill="1" applyAlignment="1" applyProtection="1">
      <alignment vertical="center"/>
    </xf>
    <xf numFmtId="0" fontId="14" fillId="13" borderId="0" xfId="1" applyFont="1" applyFill="1" applyAlignment="1" applyProtection="1">
      <alignment vertical="center"/>
    </xf>
    <xf numFmtId="166" fontId="15" fillId="6" borderId="0" xfId="1" applyNumberFormat="1" applyFont="1" applyFill="1" applyAlignment="1" applyProtection="1">
      <alignment vertical="center"/>
    </xf>
    <xf numFmtId="0" fontId="14" fillId="6" borderId="0" xfId="1" applyFont="1" applyFill="1" applyAlignment="1" applyProtection="1">
      <alignment vertical="center"/>
    </xf>
    <xf numFmtId="166" fontId="29" fillId="0" borderId="0" xfId="1" applyNumberFormat="1" applyFont="1" applyFill="1" applyAlignment="1" applyProtection="1">
      <alignment vertical="center"/>
    </xf>
    <xf numFmtId="166" fontId="12" fillId="0" borderId="0" xfId="1" applyNumberFormat="1" applyFont="1" applyFill="1" applyAlignment="1" applyProtection="1">
      <alignment vertical="center"/>
    </xf>
    <xf numFmtId="0" fontId="3" fillId="0" borderId="9" xfId="1" applyFont="1" applyBorder="1" applyAlignment="1" applyProtection="1">
      <alignment vertical="top" wrapText="1"/>
    </xf>
    <xf numFmtId="4" fontId="7" fillId="0" borderId="9" xfId="0" applyNumberFormat="1" applyFont="1" applyFill="1" applyBorder="1" applyAlignment="1" applyProtection="1">
      <alignment horizontal="center" vertical="center"/>
    </xf>
    <xf numFmtId="4" fontId="42" fillId="0" borderId="9" xfId="0" applyNumberFormat="1" applyFont="1" applyFill="1" applyBorder="1" applyAlignment="1" applyProtection="1">
      <alignment horizontal="center" vertical="center"/>
    </xf>
    <xf numFmtId="0" fontId="2" fillId="16" borderId="0" xfId="1" applyFont="1" applyFill="1" applyAlignment="1" applyProtection="1">
      <alignment vertical="center" wrapText="1"/>
    </xf>
    <xf numFmtId="49" fontId="13" fillId="16" borderId="9" xfId="1" applyNumberFormat="1" applyFont="1" applyFill="1" applyBorder="1" applyAlignment="1" applyProtection="1">
      <alignment horizontal="center" vertical="center" wrapText="1"/>
    </xf>
    <xf numFmtId="165" fontId="3" fillId="16" borderId="9" xfId="1" applyNumberFormat="1" applyFont="1" applyFill="1" applyBorder="1" applyAlignment="1" applyProtection="1">
      <alignment horizontal="center" vertical="center" wrapText="1"/>
    </xf>
    <xf numFmtId="166" fontId="13" fillId="16" borderId="9" xfId="1" applyNumberFormat="1" applyFont="1" applyFill="1" applyBorder="1" applyAlignment="1" applyProtection="1">
      <alignment horizontal="center" vertical="center"/>
      <protection locked="0"/>
    </xf>
    <xf numFmtId="166" fontId="13" fillId="16" borderId="9" xfId="1" applyNumberFormat="1" applyFont="1" applyFill="1" applyBorder="1" applyAlignment="1" applyProtection="1">
      <alignment horizontal="center" vertical="center"/>
    </xf>
    <xf numFmtId="166" fontId="3" fillId="16" borderId="9" xfId="1" applyNumberFormat="1" applyFont="1" applyFill="1" applyBorder="1" applyAlignment="1" applyProtection="1">
      <alignment horizontal="center" vertical="center"/>
      <protection locked="0"/>
    </xf>
    <xf numFmtId="0" fontId="10" fillId="16" borderId="0" xfId="1" applyFont="1" applyFill="1" applyProtection="1"/>
    <xf numFmtId="166" fontId="3" fillId="0" borderId="9" xfId="1" applyNumberFormat="1" applyFont="1" applyFill="1" applyBorder="1" applyAlignment="1" applyProtection="1">
      <alignment horizontal="left" vertical="top" wrapText="1"/>
      <protection locked="0"/>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17" borderId="9" xfId="1" applyFont="1" applyFill="1" applyBorder="1" applyAlignment="1" applyProtection="1">
      <alignment horizontal="left" vertical="center" wrapText="1"/>
    </xf>
    <xf numFmtId="166" fontId="13" fillId="17" borderId="9" xfId="1" applyNumberFormat="1" applyFont="1" applyFill="1" applyBorder="1" applyAlignment="1" applyProtection="1">
      <alignment horizontal="center" vertical="center"/>
    </xf>
    <xf numFmtId="166" fontId="13" fillId="17" borderId="9" xfId="1" applyNumberFormat="1" applyFont="1" applyFill="1" applyBorder="1" applyAlignment="1" applyProtection="1">
      <alignment horizontal="center" vertical="center"/>
      <protection locked="0"/>
    </xf>
    <xf numFmtId="0" fontId="36" fillId="0" borderId="9" xfId="1" applyFont="1" applyFill="1" applyBorder="1" applyAlignment="1" applyProtection="1">
      <alignment horizontal="left" vertical="center" wrapText="1"/>
    </xf>
    <xf numFmtId="0" fontId="37"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14" fontId="21" fillId="0" borderId="9" xfId="1" applyNumberFormat="1" applyFont="1" applyBorder="1" applyAlignment="1" applyProtection="1">
      <alignment horizontal="center" vertical="center" wrapText="1"/>
    </xf>
    <xf numFmtId="0" fontId="28" fillId="0" borderId="0" xfId="1" applyFont="1" applyBorder="1" applyAlignment="1" applyProtection="1">
      <alignment horizontal="right" vertical="center" wrapText="1"/>
    </xf>
    <xf numFmtId="0" fontId="43" fillId="0" borderId="9" xfId="1" applyFont="1" applyBorder="1" applyAlignment="1" applyProtection="1">
      <alignment horizontal="left" vertical="center" wrapText="1"/>
    </xf>
    <xf numFmtId="0" fontId="3" fillId="3" borderId="9" xfId="1" applyFont="1" applyFill="1" applyBorder="1" applyAlignment="1" applyProtection="1">
      <alignment horizontal="left" vertical="center" wrapText="1"/>
    </xf>
    <xf numFmtId="166" fontId="3" fillId="3" borderId="9" xfId="1" applyNumberFormat="1" applyFont="1" applyFill="1" applyBorder="1" applyAlignment="1" applyProtection="1">
      <alignment horizontal="center" vertical="center"/>
    </xf>
    <xf numFmtId="166" fontId="3" fillId="3" borderId="9" xfId="1" applyNumberFormat="1" applyFont="1" applyFill="1" applyBorder="1" applyAlignment="1" applyProtection="1">
      <alignment horizontal="center" vertical="center"/>
      <protection locked="0"/>
    </xf>
    <xf numFmtId="166" fontId="15" fillId="3" borderId="0" xfId="1" applyNumberFormat="1" applyFont="1" applyFill="1" applyAlignment="1" applyProtection="1">
      <alignment vertical="center"/>
    </xf>
    <xf numFmtId="0" fontId="12" fillId="3" borderId="0" xfId="1" applyFont="1" applyFill="1" applyAlignment="1" applyProtection="1">
      <alignment vertical="center"/>
    </xf>
    <xf numFmtId="167" fontId="7" fillId="3" borderId="9" xfId="4" applyFont="1" applyFill="1" applyBorder="1" applyAlignment="1">
      <alignment horizontal="center" vertical="center" wrapText="1"/>
    </xf>
    <xf numFmtId="166" fontId="14" fillId="3" borderId="0" xfId="1" applyNumberFormat="1" applyFont="1" applyFill="1" applyAlignment="1" applyProtection="1">
      <alignment vertical="center"/>
    </xf>
    <xf numFmtId="0" fontId="14" fillId="3" borderId="0" xfId="1" applyFont="1" applyFill="1" applyAlignment="1" applyProtection="1">
      <alignment vertical="center"/>
    </xf>
    <xf numFmtId="43" fontId="3" fillId="3" borderId="9" xfId="1" applyNumberFormat="1" applyFont="1" applyFill="1" applyBorder="1" applyAlignment="1" applyProtection="1">
      <alignment horizontal="right" vertical="center" wrapText="1"/>
    </xf>
    <xf numFmtId="166" fontId="3" fillId="3" borderId="9" xfId="1" applyNumberFormat="1" applyFont="1" applyFill="1" applyBorder="1" applyAlignment="1" applyProtection="1">
      <alignment horizontal="right" vertical="center"/>
    </xf>
    <xf numFmtId="0" fontId="3" fillId="0" borderId="9" xfId="1" applyFont="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2" applyFont="1" applyFill="1" applyBorder="1" applyAlignment="1" applyProtection="1">
      <alignment vertical="top" wrapText="1"/>
      <protection locked="0"/>
    </xf>
    <xf numFmtId="0" fontId="3" fillId="0" borderId="9" xfId="0" applyFont="1" applyFill="1" applyBorder="1" applyAlignment="1">
      <alignment horizontal="justify" vertical="top" wrapText="1"/>
    </xf>
    <xf numFmtId="166" fontId="13" fillId="3" borderId="9" xfId="1" applyNumberFormat="1" applyFont="1" applyFill="1" applyBorder="1" applyAlignment="1" applyProtection="1">
      <alignment horizontal="center" vertical="center"/>
      <protection locked="0"/>
    </xf>
    <xf numFmtId="166" fontId="44" fillId="0" borderId="0" xfId="1" applyNumberFormat="1" applyFont="1" applyAlignment="1" applyProtection="1">
      <alignment vertical="center"/>
    </xf>
    <xf numFmtId="166" fontId="44" fillId="0" borderId="0" xfId="1" applyNumberFormat="1" applyFont="1" applyFill="1" applyAlignment="1" applyProtection="1">
      <alignment vertical="center"/>
    </xf>
    <xf numFmtId="166" fontId="22" fillId="3" borderId="0" xfId="1" applyNumberFormat="1" applyFont="1" applyFill="1" applyAlignment="1" applyProtection="1">
      <alignment vertical="center"/>
    </xf>
    <xf numFmtId="0" fontId="22" fillId="3" borderId="0" xfId="1" applyFont="1" applyFill="1" applyAlignment="1" applyProtection="1">
      <alignment vertical="center"/>
    </xf>
    <xf numFmtId="167" fontId="3" fillId="0" borderId="9" xfId="0" applyNumberFormat="1" applyFont="1" applyFill="1" applyBorder="1" applyAlignment="1">
      <alignment vertical="center" wrapText="1"/>
    </xf>
    <xf numFmtId="0" fontId="3" fillId="3" borderId="9" xfId="2" applyFont="1" applyFill="1" applyBorder="1" applyAlignment="1">
      <alignment vertical="center" wrapText="1"/>
    </xf>
    <xf numFmtId="0" fontId="3" fillId="0" borderId="2" xfId="0" applyFont="1" applyFill="1" applyBorder="1" applyAlignment="1">
      <alignment horizontal="left" vertical="center" wrapText="1"/>
    </xf>
    <xf numFmtId="0" fontId="3" fillId="3" borderId="9" xfId="0" applyFont="1" applyFill="1" applyBorder="1" applyAlignment="1">
      <alignment horizontal="justify" vertical="center" wrapText="1"/>
    </xf>
    <xf numFmtId="166" fontId="35" fillId="0" borderId="9" xfId="1" applyNumberFormat="1" applyFont="1" applyFill="1" applyBorder="1" applyAlignment="1" applyProtection="1">
      <alignment horizontal="center" vertical="center"/>
      <protection locked="0"/>
    </xf>
    <xf numFmtId="166" fontId="38" fillId="0" borderId="9" xfId="1" applyNumberFormat="1" applyFont="1" applyFill="1" applyBorder="1" applyAlignment="1" applyProtection="1">
      <alignment horizontal="center" vertical="center"/>
      <protection locked="0"/>
    </xf>
    <xf numFmtId="0" fontId="35" fillId="4" borderId="5" xfId="1" applyFont="1" applyFill="1" applyBorder="1" applyAlignment="1" applyProtection="1">
      <alignment horizontal="center" vertical="center"/>
    </xf>
    <xf numFmtId="0" fontId="38" fillId="4" borderId="2" xfId="1" applyFont="1" applyFill="1" applyBorder="1" applyAlignment="1" applyProtection="1">
      <alignment vertical="center" wrapText="1"/>
    </xf>
    <xf numFmtId="0" fontId="35" fillId="4" borderId="9" xfId="1" applyFont="1" applyFill="1" applyBorder="1" applyAlignment="1" applyProtection="1">
      <alignment horizontal="left" vertical="center" wrapText="1"/>
    </xf>
    <xf numFmtId="0" fontId="37" fillId="4" borderId="9" xfId="1" applyFont="1" applyFill="1" applyBorder="1" applyAlignment="1" applyProtection="1">
      <alignment horizontal="left" vertical="center" wrapText="1"/>
    </xf>
    <xf numFmtId="166" fontId="38" fillId="4" borderId="9" xfId="1" applyNumberFormat="1" applyFont="1" applyFill="1" applyBorder="1" applyAlignment="1" applyProtection="1">
      <alignment horizontal="center" vertical="center"/>
    </xf>
    <xf numFmtId="166" fontId="38" fillId="4" borderId="9" xfId="1" applyNumberFormat="1" applyFont="1" applyFill="1" applyBorder="1" applyAlignment="1" applyProtection="1">
      <alignment horizontal="center" vertical="center"/>
      <protection locked="0"/>
    </xf>
    <xf numFmtId="0" fontId="35" fillId="4" borderId="8" xfId="1" applyFont="1" applyFill="1" applyBorder="1" applyAlignment="1" applyProtection="1">
      <alignment horizontal="left" vertical="center" wrapText="1"/>
    </xf>
    <xf numFmtId="0" fontId="35" fillId="4" borderId="9" xfId="1" applyFont="1" applyFill="1" applyBorder="1" applyAlignment="1" applyProtection="1">
      <alignment horizontal="center" vertical="center"/>
    </xf>
    <xf numFmtId="166" fontId="21" fillId="0" borderId="9" xfId="1" applyNumberFormat="1" applyFont="1" applyBorder="1" applyAlignment="1" applyProtection="1">
      <alignment horizontal="center" vertical="center"/>
    </xf>
    <xf numFmtId="166" fontId="21" fillId="0" borderId="9" xfId="1" applyNumberFormat="1" applyFont="1" applyBorder="1" applyAlignment="1" applyProtection="1">
      <alignment horizontal="center" vertical="center"/>
      <protection locked="0"/>
    </xf>
    <xf numFmtId="166" fontId="10" fillId="0" borderId="0" xfId="1" applyNumberFormat="1" applyFont="1" applyProtection="1"/>
    <xf numFmtId="166" fontId="3" fillId="0" borderId="9" xfId="1" applyNumberFormat="1" applyFont="1" applyBorder="1" applyAlignment="1" applyProtection="1">
      <alignment horizontal="left" vertical="top" wrapText="1"/>
      <protection locked="0"/>
    </xf>
    <xf numFmtId="0" fontId="3" fillId="0" borderId="9" xfId="1" applyFont="1" applyFill="1" applyBorder="1" applyAlignment="1" applyProtection="1">
      <alignment horizontal="justify" vertical="center" wrapText="1"/>
    </xf>
    <xf numFmtId="0" fontId="10" fillId="0" borderId="0" xfId="1" applyFont="1" applyFill="1" applyAlignment="1" applyProtection="1">
      <alignment vertical="top"/>
    </xf>
    <xf numFmtId="166" fontId="10" fillId="0" borderId="0" xfId="1" applyNumberFormat="1" applyFont="1" applyFill="1" applyProtection="1"/>
    <xf numFmtId="0" fontId="25" fillId="0" borderId="9" xfId="0" applyFont="1" applyFill="1" applyBorder="1" applyAlignment="1">
      <alignment horizontal="left" vertical="center" wrapText="1"/>
    </xf>
    <xf numFmtId="0" fontId="2" fillId="18" borderId="0" xfId="1" applyFont="1" applyFill="1" applyAlignment="1" applyProtection="1">
      <alignment vertical="center" wrapText="1"/>
    </xf>
    <xf numFmtId="49" fontId="13" fillId="18" borderId="9" xfId="1" applyNumberFormat="1" applyFont="1" applyFill="1" applyBorder="1" applyAlignment="1" applyProtection="1">
      <alignment horizontal="center" vertical="center" wrapText="1"/>
    </xf>
    <xf numFmtId="165" fontId="3" fillId="18" borderId="9" xfId="1" applyNumberFormat="1" applyFont="1" applyFill="1" applyBorder="1" applyAlignment="1" applyProtection="1">
      <alignment horizontal="center" vertical="center" wrapText="1"/>
    </xf>
    <xf numFmtId="166" fontId="13" fillId="18" borderId="9" xfId="1" applyNumberFormat="1" applyFont="1" applyFill="1" applyBorder="1" applyAlignment="1" applyProtection="1">
      <alignment horizontal="center" vertical="center"/>
      <protection locked="0"/>
    </xf>
    <xf numFmtId="166" fontId="13" fillId="18" borderId="9" xfId="1" applyNumberFormat="1" applyFont="1" applyFill="1" applyBorder="1" applyAlignment="1" applyProtection="1">
      <alignment horizontal="center" vertical="center"/>
    </xf>
    <xf numFmtId="166" fontId="3" fillId="18" borderId="9" xfId="1" applyNumberFormat="1" applyFont="1" applyFill="1" applyBorder="1" applyAlignment="1" applyProtection="1">
      <alignment horizontal="center" vertical="center"/>
      <protection locked="0"/>
    </xf>
    <xf numFmtId="0" fontId="10" fillId="18" borderId="0" xfId="1" applyFont="1" applyFill="1" applyProtection="1"/>
    <xf numFmtId="0" fontId="2" fillId="10" borderId="0" xfId="1" applyFont="1" applyFill="1" applyAlignment="1" applyProtection="1">
      <alignment vertical="center" wrapText="1"/>
    </xf>
    <xf numFmtId="49" fontId="13" fillId="10" borderId="9" xfId="1" applyNumberFormat="1" applyFont="1" applyFill="1" applyBorder="1" applyAlignment="1" applyProtection="1">
      <alignment horizontal="center" vertical="center" wrapText="1"/>
    </xf>
    <xf numFmtId="165" fontId="3" fillId="10" borderId="9" xfId="1" applyNumberFormat="1" applyFont="1" applyFill="1" applyBorder="1" applyAlignment="1" applyProtection="1">
      <alignment horizontal="center" vertical="center" wrapText="1"/>
    </xf>
    <xf numFmtId="166" fontId="3" fillId="10" borderId="9" xfId="1" applyNumberFormat="1" applyFont="1" applyFill="1" applyBorder="1" applyAlignment="1" applyProtection="1">
      <alignment horizontal="center" vertical="center"/>
      <protection locked="0"/>
    </xf>
    <xf numFmtId="0" fontId="10" fillId="10" borderId="0" xfId="1" applyFont="1" applyFill="1" applyProtection="1"/>
    <xf numFmtId="0" fontId="2" fillId="2" borderId="0" xfId="1" applyFont="1" applyFill="1" applyAlignment="1" applyProtection="1">
      <alignment vertical="center" wrapText="1"/>
    </xf>
    <xf numFmtId="49" fontId="13" fillId="2" borderId="9" xfId="1" applyNumberFormat="1" applyFont="1" applyFill="1" applyBorder="1" applyAlignment="1" applyProtection="1">
      <alignment horizontal="center" vertical="center" wrapText="1"/>
    </xf>
    <xf numFmtId="165" fontId="3" fillId="2" borderId="9" xfId="1" applyNumberFormat="1" applyFont="1" applyFill="1" applyBorder="1" applyAlignment="1" applyProtection="1">
      <alignment horizontal="center" vertical="center" wrapText="1"/>
    </xf>
    <xf numFmtId="0" fontId="10" fillId="2" borderId="0" xfId="1" applyFont="1" applyFill="1" applyProtection="1"/>
    <xf numFmtId="14" fontId="13" fillId="0" borderId="9" xfId="1" applyNumberFormat="1" applyFont="1" applyFill="1" applyBorder="1" applyAlignment="1" applyProtection="1">
      <alignment horizontal="center" vertical="center" wrapText="1"/>
    </xf>
    <xf numFmtId="166" fontId="35" fillId="0" borderId="9" xfId="1" applyNumberFormat="1" applyFont="1" applyBorder="1" applyAlignment="1" applyProtection="1">
      <alignment horizontal="center"/>
    </xf>
    <xf numFmtId="0" fontId="13" fillId="7" borderId="9" xfId="1" applyFont="1" applyFill="1" applyBorder="1" applyAlignment="1" applyProtection="1">
      <alignment horizontal="left" vertical="center" wrapText="1"/>
    </xf>
    <xf numFmtId="0" fontId="13" fillId="7" borderId="9" xfId="1" applyFont="1" applyFill="1" applyBorder="1" applyAlignment="1" applyProtection="1">
      <alignment vertical="center" wrapText="1"/>
    </xf>
    <xf numFmtId="166" fontId="14" fillId="7" borderId="0" xfId="1" applyNumberFormat="1" applyFont="1" applyFill="1" applyAlignment="1" applyProtection="1">
      <alignment vertical="center"/>
    </xf>
    <xf numFmtId="0" fontId="14" fillId="7" borderId="0" xfId="1" applyFont="1" applyFill="1" applyAlignment="1" applyProtection="1">
      <alignment vertical="center"/>
    </xf>
    <xf numFmtId="166" fontId="15" fillId="7" borderId="0" xfId="1" applyNumberFormat="1" applyFont="1" applyFill="1" applyAlignment="1" applyProtection="1">
      <alignment vertical="center"/>
    </xf>
    <xf numFmtId="0" fontId="12" fillId="7" borderId="0" xfId="1" applyFont="1" applyFill="1" applyAlignment="1" applyProtection="1">
      <alignment vertical="center"/>
    </xf>
    <xf numFmtId="166" fontId="44" fillId="7" borderId="0" xfId="1" applyNumberFormat="1" applyFont="1" applyFill="1" applyAlignment="1" applyProtection="1">
      <alignment vertical="center"/>
    </xf>
    <xf numFmtId="0" fontId="50" fillId="0" borderId="9" xfId="1" applyFont="1" applyBorder="1" applyAlignment="1" applyProtection="1">
      <alignment horizontal="justify" vertical="justify" wrapText="1"/>
    </xf>
    <xf numFmtId="0" fontId="50" fillId="7" borderId="9" xfId="1" applyFont="1" applyFill="1" applyBorder="1" applyAlignment="1" applyProtection="1">
      <alignment horizontal="justify" vertical="center" wrapText="1"/>
    </xf>
    <xf numFmtId="0" fontId="3" fillId="9" borderId="9" xfId="1" applyFont="1" applyFill="1" applyBorder="1" applyAlignment="1" applyProtection="1">
      <alignment horizontal="justify" vertical="center" wrapText="1"/>
    </xf>
    <xf numFmtId="0" fontId="3" fillId="11" borderId="9" xfId="1" applyFont="1" applyFill="1" applyBorder="1" applyAlignment="1" applyProtection="1">
      <alignment vertical="center" wrapText="1"/>
    </xf>
    <xf numFmtId="0" fontId="3" fillId="8" borderId="9" xfId="1" applyFont="1" applyFill="1" applyBorder="1" applyAlignment="1" applyProtection="1">
      <alignment vertical="center" wrapText="1"/>
    </xf>
    <xf numFmtId="0" fontId="2" fillId="10" borderId="9" xfId="1" applyFont="1" applyFill="1" applyBorder="1" applyAlignment="1" applyProtection="1">
      <alignment vertical="center" wrapText="1"/>
    </xf>
    <xf numFmtId="0" fontId="3" fillId="14" borderId="9" xfId="1" applyFont="1" applyFill="1" applyBorder="1" applyAlignment="1" applyProtection="1">
      <alignment horizontal="justify" vertical="center" wrapText="1"/>
    </xf>
    <xf numFmtId="0" fontId="3" fillId="13" borderId="9" xfId="1" applyFont="1" applyFill="1" applyBorder="1" applyAlignment="1" applyProtection="1">
      <alignment horizontal="justify" vertical="center" wrapText="1"/>
    </xf>
    <xf numFmtId="0" fontId="13" fillId="0" borderId="2" xfId="1" applyFont="1" applyFill="1" applyBorder="1" applyAlignment="1" applyProtection="1">
      <alignment horizontal="center" vertical="center"/>
    </xf>
    <xf numFmtId="0" fontId="13" fillId="0" borderId="9" xfId="1" applyFont="1" applyBorder="1" applyAlignment="1" applyProtection="1">
      <alignment horizontal="right" vertical="center" wrapText="1"/>
    </xf>
    <xf numFmtId="0" fontId="13" fillId="0" borderId="2" xfId="1" applyFont="1" applyBorder="1" applyAlignment="1" applyProtection="1">
      <alignment horizontal="right" vertical="center" wrapText="1"/>
    </xf>
    <xf numFmtId="0" fontId="26" fillId="0" borderId="2" xfId="1" applyFont="1" applyFill="1" applyBorder="1" applyAlignment="1" applyProtection="1">
      <alignment horizontal="left" vertical="center" wrapText="1"/>
    </xf>
    <xf numFmtId="166" fontId="13" fillId="0" borderId="2" xfId="1" applyNumberFormat="1" applyFont="1" applyFill="1" applyBorder="1" applyAlignment="1" applyProtection="1">
      <alignment horizontal="center" vertical="center"/>
    </xf>
    <xf numFmtId="166" fontId="13" fillId="0" borderId="2" xfId="1" applyNumberFormat="1" applyFont="1" applyFill="1" applyBorder="1" applyAlignment="1" applyProtection="1">
      <alignment horizontal="center" vertical="center"/>
      <protection locked="0"/>
    </xf>
    <xf numFmtId="0" fontId="13" fillId="0" borderId="2" xfId="1" applyFont="1" applyFill="1" applyBorder="1" applyAlignment="1" applyProtection="1">
      <alignment vertical="center" wrapText="1"/>
    </xf>
    <xf numFmtId="0" fontId="10" fillId="0" borderId="9" xfId="1" applyFont="1" applyBorder="1" applyProtection="1"/>
    <xf numFmtId="4" fontId="35" fillId="0" borderId="9" xfId="1" applyNumberFormat="1" applyFont="1" applyFill="1" applyBorder="1" applyAlignment="1" applyProtection="1">
      <alignment horizontal="center" vertical="center"/>
      <protection locked="0"/>
    </xf>
    <xf numFmtId="4" fontId="37" fillId="0" borderId="9" xfId="1" applyNumberFormat="1" applyFont="1" applyBorder="1" applyProtection="1"/>
    <xf numFmtId="4" fontId="37" fillId="0" borderId="9" xfId="1" applyNumberFormat="1" applyFont="1" applyBorder="1" applyAlignment="1" applyProtection="1">
      <alignment horizontal="center" vertical="center"/>
    </xf>
    <xf numFmtId="0" fontId="13" fillId="20" borderId="9" xfId="1" applyFont="1" applyFill="1" applyBorder="1" applyAlignment="1" applyProtection="1">
      <alignment vertical="center" wrapText="1"/>
    </xf>
    <xf numFmtId="166" fontId="3" fillId="20" borderId="9" xfId="1" applyNumberFormat="1" applyFont="1" applyFill="1" applyBorder="1" applyAlignment="1" applyProtection="1">
      <alignment horizontal="center" vertical="center"/>
      <protection locked="0"/>
    </xf>
    <xf numFmtId="166" fontId="25" fillId="5" borderId="9" xfId="1" applyNumberFormat="1" applyFont="1" applyFill="1" applyBorder="1" applyAlignment="1" applyProtection="1">
      <alignment horizontal="left" vertical="center" wrapText="1"/>
    </xf>
    <xf numFmtId="166" fontId="51" fillId="0" borderId="9" xfId="1" applyNumberFormat="1" applyFont="1" applyFill="1" applyBorder="1" applyAlignment="1" applyProtection="1">
      <alignment horizontal="center" vertical="center"/>
      <protection locked="0"/>
    </xf>
    <xf numFmtId="0" fontId="3" fillId="0" borderId="9" xfId="1" applyFont="1" applyBorder="1" applyAlignment="1" applyProtection="1">
      <alignment horizontal="left" vertical="center" wrapText="1"/>
    </xf>
    <xf numFmtId="166" fontId="3" fillId="3" borderId="9" xfId="1" applyNumberFormat="1" applyFont="1" applyFill="1" applyBorder="1" applyAlignment="1" applyProtection="1">
      <alignmen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168" fontId="3" fillId="0" borderId="9" xfId="0" applyNumberFormat="1" applyFont="1" applyFill="1" applyBorder="1" applyAlignment="1">
      <alignment horizontal="justify" vertical="top" wrapText="1"/>
    </xf>
    <xf numFmtId="0" fontId="26" fillId="0" borderId="9" xfId="0" applyFont="1" applyFill="1" applyBorder="1" applyAlignment="1">
      <alignment horizontal="justify" vertical="center" wrapText="1"/>
    </xf>
    <xf numFmtId="164" fontId="2" fillId="0" borderId="0" xfId="1" applyNumberFormat="1" applyFont="1" applyFill="1" applyAlignment="1" applyProtection="1">
      <alignment vertical="center" wrapText="1"/>
    </xf>
    <xf numFmtId="164" fontId="21" fillId="0" borderId="0" xfId="1" applyNumberFormat="1" applyFont="1" applyFill="1" applyAlignment="1" applyProtection="1">
      <alignment vertical="center" wrapText="1"/>
    </xf>
    <xf numFmtId="164" fontId="21" fillId="0" borderId="1" xfId="1" applyNumberFormat="1" applyFont="1" applyFill="1" applyBorder="1" applyAlignment="1" applyProtection="1">
      <alignment vertical="center" wrapText="1"/>
    </xf>
    <xf numFmtId="0" fontId="2" fillId="0" borderId="0" xfId="1" applyFont="1" applyFill="1" applyProtection="1"/>
    <xf numFmtId="166" fontId="3" fillId="0" borderId="0" xfId="1" applyNumberFormat="1" applyFont="1" applyFill="1" applyProtection="1"/>
    <xf numFmtId="0" fontId="3" fillId="0" borderId="0" xfId="1" applyFont="1" applyFill="1" applyAlignment="1" applyProtection="1">
      <alignment vertical="center" wrapText="1"/>
    </xf>
    <xf numFmtId="14" fontId="35" fillId="0" borderId="9" xfId="1" applyNumberFormat="1" applyFont="1" applyFill="1" applyBorder="1" applyAlignment="1" applyProtection="1">
      <alignment horizontal="center" vertical="center" wrapText="1"/>
    </xf>
    <xf numFmtId="164" fontId="2" fillId="6" borderId="0" xfId="1" applyNumberFormat="1" applyFont="1" applyFill="1" applyAlignment="1" applyProtection="1">
      <alignment vertical="center" wrapText="1"/>
    </xf>
    <xf numFmtId="164" fontId="13" fillId="6" borderId="0" xfId="1" applyNumberFormat="1" applyFont="1" applyFill="1" applyAlignment="1" applyProtection="1">
      <alignment vertical="center" wrapText="1"/>
    </xf>
    <xf numFmtId="164" fontId="13" fillId="6" borderId="1" xfId="1" applyNumberFormat="1" applyFont="1" applyFill="1" applyBorder="1" applyAlignment="1" applyProtection="1">
      <alignment vertical="center" wrapText="1"/>
    </xf>
    <xf numFmtId="49" fontId="13" fillId="6" borderId="9" xfId="1" applyNumberFormat="1" applyFont="1" applyFill="1" applyBorder="1" applyAlignment="1" applyProtection="1">
      <alignment horizontal="center" vertical="center" wrapText="1"/>
    </xf>
    <xf numFmtId="165" fontId="3" fillId="6" borderId="9" xfId="1" applyNumberFormat="1" applyFont="1" applyFill="1" applyBorder="1" applyAlignment="1" applyProtection="1">
      <alignment horizontal="center" vertical="center" wrapText="1"/>
    </xf>
    <xf numFmtId="166" fontId="3" fillId="6" borderId="9" xfId="1" applyNumberFormat="1" applyFont="1" applyFill="1" applyBorder="1" applyAlignment="1" applyProtection="1">
      <alignment horizontal="center" vertical="center"/>
      <protection locked="0"/>
    </xf>
    <xf numFmtId="0" fontId="10" fillId="6" borderId="0" xfId="1" applyFont="1" applyFill="1" applyProtection="1"/>
    <xf numFmtId="0" fontId="38" fillId="0" borderId="0" xfId="1" applyFont="1" applyAlignment="1" applyProtection="1">
      <alignment horizontal="justify" vertical="center" wrapText="1"/>
    </xf>
    <xf numFmtId="165" fontId="38" fillId="0" borderId="9" xfId="1" applyNumberFormat="1" applyFont="1" applyFill="1" applyBorder="1" applyAlignment="1" applyProtection="1">
      <alignment horizontal="center" vertical="center" wrapText="1"/>
    </xf>
    <xf numFmtId="166" fontId="35" fillId="9" borderId="9" xfId="1" applyNumberFormat="1" applyFont="1" applyFill="1" applyBorder="1" applyAlignment="1" applyProtection="1">
      <alignment horizontal="center" vertical="center"/>
      <protection locked="0"/>
    </xf>
    <xf numFmtId="166" fontId="35" fillId="8" borderId="9" xfId="1" applyNumberFormat="1" applyFont="1" applyFill="1" applyBorder="1" applyAlignment="1" applyProtection="1">
      <alignment horizontal="center" vertical="center"/>
    </xf>
    <xf numFmtId="166" fontId="35" fillId="10" borderId="9" xfId="1" applyNumberFormat="1" applyFont="1" applyFill="1" applyBorder="1" applyAlignment="1" applyProtection="1">
      <alignment horizontal="center" vertical="center"/>
    </xf>
    <xf numFmtId="166" fontId="35" fillId="11" borderId="9" xfId="1" applyNumberFormat="1" applyFont="1" applyFill="1" applyBorder="1" applyAlignment="1" applyProtection="1">
      <alignment horizontal="center" vertical="center"/>
    </xf>
    <xf numFmtId="166" fontId="35" fillId="15" borderId="9" xfId="1" applyNumberFormat="1" applyFont="1" applyFill="1" applyBorder="1" applyAlignment="1" applyProtection="1">
      <alignment horizontal="center" vertical="center"/>
    </xf>
    <xf numFmtId="166" fontId="35" fillId="14" borderId="9" xfId="1" applyNumberFormat="1" applyFont="1" applyFill="1" applyBorder="1" applyAlignment="1" applyProtection="1">
      <alignment horizontal="center" vertical="center"/>
    </xf>
    <xf numFmtId="166" fontId="35" fillId="12" borderId="9" xfId="1" applyNumberFormat="1" applyFont="1" applyFill="1" applyBorder="1" applyAlignment="1" applyProtection="1">
      <alignment horizontal="center" vertical="center"/>
    </xf>
    <xf numFmtId="166" fontId="35" fillId="6" borderId="9" xfId="1" applyNumberFormat="1" applyFont="1" applyFill="1" applyBorder="1" applyAlignment="1" applyProtection="1">
      <alignment horizontal="center" vertical="center"/>
    </xf>
    <xf numFmtId="166" fontId="35" fillId="13" borderId="9" xfId="1" applyNumberFormat="1" applyFont="1" applyFill="1" applyBorder="1" applyAlignment="1" applyProtection="1">
      <alignment horizontal="center" vertical="center"/>
    </xf>
    <xf numFmtId="0" fontId="1" fillId="0" borderId="0" xfId="1" applyFont="1" applyProtection="1"/>
    <xf numFmtId="164" fontId="2" fillId="17" borderId="0" xfId="1" applyNumberFormat="1" applyFont="1" applyFill="1" applyAlignment="1" applyProtection="1">
      <alignment vertical="center" wrapText="1"/>
    </xf>
    <xf numFmtId="164" fontId="13" fillId="17" borderId="0" xfId="1" applyNumberFormat="1" applyFont="1" applyFill="1" applyAlignment="1" applyProtection="1">
      <alignment vertical="center" wrapText="1"/>
    </xf>
    <xf numFmtId="164" fontId="13" fillId="17" borderId="1" xfId="1" applyNumberFormat="1" applyFont="1" applyFill="1" applyBorder="1" applyAlignment="1" applyProtection="1">
      <alignment vertical="center" wrapText="1"/>
    </xf>
    <xf numFmtId="49" fontId="13" fillId="17" borderId="9" xfId="1" applyNumberFormat="1" applyFont="1" applyFill="1" applyBorder="1" applyAlignment="1" applyProtection="1">
      <alignment horizontal="center" vertical="center" wrapText="1"/>
    </xf>
    <xf numFmtId="165" fontId="3" fillId="17" borderId="9" xfId="1" applyNumberFormat="1" applyFont="1" applyFill="1" applyBorder="1" applyAlignment="1" applyProtection="1">
      <alignment horizontal="center" vertical="center" wrapText="1"/>
    </xf>
    <xf numFmtId="166" fontId="3" fillId="17" borderId="9" xfId="1" applyNumberFormat="1" applyFont="1" applyFill="1" applyBorder="1" applyAlignment="1" applyProtection="1">
      <alignment horizontal="center" vertical="center"/>
      <protection locked="0"/>
    </xf>
    <xf numFmtId="0" fontId="10" fillId="17" borderId="0" xfId="1" applyFont="1" applyFill="1" applyProtection="1"/>
    <xf numFmtId="0" fontId="38" fillId="21" borderId="0" xfId="1" applyFont="1" applyFill="1" applyAlignment="1" applyProtection="1">
      <alignment horizontal="justify" vertical="center" wrapText="1"/>
    </xf>
    <xf numFmtId="14" fontId="35" fillId="21" borderId="9" xfId="1" applyNumberFormat="1" applyFont="1" applyFill="1" applyBorder="1" applyAlignment="1" applyProtection="1">
      <alignment horizontal="center" vertical="center" wrapText="1"/>
    </xf>
    <xf numFmtId="165" fontId="38" fillId="21" borderId="9" xfId="1" applyNumberFormat="1" applyFont="1" applyFill="1" applyBorder="1" applyAlignment="1" applyProtection="1">
      <alignment horizontal="center" vertical="center" wrapText="1"/>
    </xf>
    <xf numFmtId="166" fontId="35" fillId="21" borderId="9" xfId="1" applyNumberFormat="1" applyFont="1" applyFill="1" applyBorder="1" applyAlignment="1" applyProtection="1">
      <alignment horizontal="center" vertical="center"/>
    </xf>
    <xf numFmtId="166" fontId="35" fillId="21" borderId="9" xfId="1" applyNumberFormat="1" applyFont="1" applyFill="1" applyBorder="1" applyAlignment="1" applyProtection="1">
      <alignment horizontal="center" vertical="center"/>
      <protection locked="0"/>
    </xf>
    <xf numFmtId="166" fontId="38" fillId="21" borderId="9" xfId="1" applyNumberFormat="1" applyFont="1" applyFill="1" applyBorder="1" applyAlignment="1" applyProtection="1">
      <alignment horizontal="center" vertical="center"/>
    </xf>
    <xf numFmtId="0" fontId="1" fillId="21" borderId="0" xfId="1" applyFont="1" applyFill="1" applyProtection="1"/>
    <xf numFmtId="0" fontId="31" fillId="0" borderId="2" xfId="2" applyFont="1" applyFill="1" applyBorder="1" applyAlignment="1" applyProtection="1">
      <alignment vertical="center" wrapText="1"/>
      <protection locked="0"/>
    </xf>
    <xf numFmtId="0" fontId="3" fillId="0" borderId="9"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9" xfId="0" applyFont="1" applyFill="1" applyBorder="1" applyAlignment="1">
      <alignment horizontal="justify" vertical="center" wrapText="1"/>
    </xf>
    <xf numFmtId="0" fontId="3" fillId="0" borderId="9" xfId="1" applyFont="1" applyFill="1" applyBorder="1" applyAlignment="1" applyProtection="1">
      <alignment horizontal="left" vertical="center" wrapText="1"/>
    </xf>
    <xf numFmtId="166" fontId="3" fillId="22" borderId="9" xfId="1" applyNumberFormat="1" applyFont="1" applyFill="1" applyBorder="1" applyAlignment="1" applyProtection="1">
      <alignment horizontal="center" vertical="center"/>
    </xf>
    <xf numFmtId="0" fontId="3" fillId="0" borderId="9" xfId="1" applyFont="1" applyFill="1" applyBorder="1" applyAlignment="1" applyProtection="1">
      <alignment horizontal="left" vertical="center" wrapText="1"/>
    </xf>
    <xf numFmtId="0" fontId="3" fillId="0" borderId="9" xfId="1" applyFont="1" applyFill="1" applyBorder="1" applyAlignment="1" applyProtection="1">
      <alignment horizontal="left" vertical="center" wrapText="1"/>
    </xf>
    <xf numFmtId="164" fontId="2" fillId="23" borderId="0" xfId="1" applyNumberFormat="1" applyFont="1" applyFill="1" applyAlignment="1" applyProtection="1">
      <alignment vertical="center" wrapText="1"/>
    </xf>
    <xf numFmtId="164" fontId="13" fillId="23" borderId="0" xfId="1" applyNumberFormat="1" applyFont="1" applyFill="1" applyAlignment="1" applyProtection="1">
      <alignment vertical="center" wrapText="1"/>
    </xf>
    <xf numFmtId="164" fontId="13" fillId="23" borderId="1" xfId="1" applyNumberFormat="1" applyFont="1" applyFill="1" applyBorder="1" applyAlignment="1" applyProtection="1">
      <alignment vertical="center" wrapText="1"/>
    </xf>
    <xf numFmtId="49" fontId="13" fillId="23" borderId="9" xfId="1" applyNumberFormat="1" applyFont="1" applyFill="1" applyBorder="1" applyAlignment="1" applyProtection="1">
      <alignment horizontal="center" vertical="center" wrapText="1"/>
    </xf>
    <xf numFmtId="165" fontId="3" fillId="23" borderId="9" xfId="1" applyNumberFormat="1" applyFont="1" applyFill="1" applyBorder="1" applyAlignment="1" applyProtection="1">
      <alignment horizontal="center" vertical="center" wrapText="1"/>
    </xf>
    <xf numFmtId="166" fontId="13" fillId="23" borderId="9" xfId="1" applyNumberFormat="1" applyFont="1" applyFill="1" applyBorder="1" applyAlignment="1" applyProtection="1">
      <alignment horizontal="center" vertical="center"/>
      <protection locked="0"/>
    </xf>
    <xf numFmtId="166" fontId="13" fillId="23" borderId="9" xfId="1" applyNumberFormat="1" applyFont="1" applyFill="1" applyBorder="1" applyAlignment="1" applyProtection="1">
      <alignment horizontal="center" vertical="center"/>
    </xf>
    <xf numFmtId="166" fontId="3" fillId="23" borderId="9" xfId="1" applyNumberFormat="1" applyFont="1" applyFill="1" applyBorder="1" applyAlignment="1" applyProtection="1">
      <alignment horizontal="center" vertical="center"/>
      <protection locked="0"/>
    </xf>
    <xf numFmtId="0" fontId="10" fillId="23" borderId="0" xfId="1" applyFont="1" applyFill="1" applyProtection="1"/>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41" fillId="0" borderId="9" xfId="1" applyFont="1" applyBorder="1" applyAlignment="1" applyProtection="1">
      <alignment horizontal="left" vertical="center" wrapText="1"/>
    </xf>
    <xf numFmtId="16" fontId="38" fillId="0" borderId="2" xfId="1" applyNumberFormat="1" applyFont="1" applyBorder="1" applyAlignment="1" applyProtection="1">
      <alignment horizontal="center" vertical="center"/>
    </xf>
    <xf numFmtId="16" fontId="38" fillId="0" borderId="5" xfId="1" applyNumberFormat="1" applyFont="1" applyBorder="1" applyAlignment="1" applyProtection="1">
      <alignment horizontal="center" vertical="center"/>
    </xf>
    <xf numFmtId="0" fontId="41" fillId="0" borderId="2" xfId="1" applyFont="1" applyBorder="1" applyAlignment="1" applyProtection="1">
      <alignment horizontal="left" vertical="center" wrapText="1"/>
    </xf>
    <xf numFmtId="0" fontId="41" fillId="0" borderId="5" xfId="1" applyFont="1" applyBorder="1" applyAlignment="1" applyProtection="1">
      <alignment horizontal="left" vertical="center" wrapText="1"/>
    </xf>
    <xf numFmtId="16" fontId="35" fillId="0" borderId="2" xfId="1" applyNumberFormat="1" applyFont="1" applyBorder="1" applyAlignment="1" applyProtection="1">
      <alignment horizontal="center" vertical="center"/>
    </xf>
    <xf numFmtId="16" fontId="35" fillId="0" borderId="5" xfId="1" applyNumberFormat="1" applyFont="1" applyBorder="1" applyAlignment="1" applyProtection="1">
      <alignment horizontal="center" vertical="center"/>
    </xf>
    <xf numFmtId="0" fontId="40" fillId="0" borderId="2" xfId="1" applyFont="1" applyBorder="1" applyAlignment="1" applyProtection="1">
      <alignment horizontal="left" vertical="center" wrapText="1"/>
    </xf>
    <xf numFmtId="0" fontId="40" fillId="0" borderId="5" xfId="1" applyFont="1" applyBorder="1" applyAlignment="1" applyProtection="1">
      <alignment horizontal="left" vertical="center" wrapText="1"/>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16" fontId="35" fillId="4" borderId="2" xfId="1" applyNumberFormat="1" applyFont="1" applyFill="1" applyBorder="1" applyAlignment="1" applyProtection="1">
      <alignment horizontal="left" vertical="center"/>
    </xf>
    <xf numFmtId="16" fontId="35" fillId="4" borderId="5" xfId="1" applyNumberFormat="1" applyFont="1" applyFill="1" applyBorder="1" applyAlignment="1" applyProtection="1">
      <alignment horizontal="left" vertical="center"/>
    </xf>
    <xf numFmtId="0" fontId="35" fillId="4" borderId="5" xfId="1" applyFont="1" applyFill="1" applyBorder="1" applyAlignment="1" applyProtection="1">
      <alignment horizontal="left" vertical="center"/>
    </xf>
    <xf numFmtId="0" fontId="35" fillId="0" borderId="2" xfId="1" applyFont="1" applyFill="1" applyBorder="1" applyAlignment="1" applyProtection="1">
      <alignment horizontal="center" vertical="center"/>
    </xf>
    <xf numFmtId="0" fontId="35" fillId="0" borderId="8" xfId="1" applyFont="1" applyFill="1" applyBorder="1" applyAlignment="1" applyProtection="1">
      <alignment horizontal="center" vertical="center"/>
    </xf>
    <xf numFmtId="0" fontId="40" fillId="0" borderId="2" xfId="1" applyFont="1" applyFill="1" applyBorder="1" applyAlignment="1" applyProtection="1">
      <alignment horizontal="left" vertical="center" wrapText="1"/>
    </xf>
    <xf numFmtId="0" fontId="40" fillId="0" borderId="5" xfId="1" applyFont="1" applyFill="1" applyBorder="1" applyAlignment="1" applyProtection="1">
      <alignment horizontal="left" vertical="center" wrapText="1"/>
    </xf>
    <xf numFmtId="0" fontId="13" fillId="0" borderId="9" xfId="1" applyFont="1" applyBorder="1" applyAlignment="1" applyProtection="1">
      <alignment vertical="center" wrapText="1"/>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13" fillId="0" borderId="5" xfId="1" applyFont="1" applyBorder="1" applyAlignment="1" applyProtection="1">
      <alignment horizontal="center" vertical="center" wrapText="1"/>
    </xf>
    <xf numFmtId="0" fontId="3" fillId="0" borderId="9" xfId="1" applyFont="1" applyBorder="1" applyAlignment="1" applyProtection="1">
      <alignment horizontal="left" vertical="center" wrapText="1"/>
    </xf>
    <xf numFmtId="0" fontId="3" fillId="0" borderId="9" xfId="1" applyFont="1" applyFill="1" applyBorder="1" applyAlignment="1" applyProtection="1">
      <alignment horizontal="left" vertical="center" wrapText="1"/>
    </xf>
    <xf numFmtId="0" fontId="13" fillId="0" borderId="5" xfId="1" applyFont="1" applyBorder="1" applyAlignment="1" applyProtection="1">
      <alignment horizontal="left" vertical="top" wrapText="1"/>
    </xf>
    <xf numFmtId="0" fontId="3" fillId="0" borderId="9" xfId="1" applyFont="1" applyBorder="1" applyAlignment="1" applyProtection="1">
      <alignment horizontal="left" vertical="center" wrapText="1"/>
    </xf>
    <xf numFmtId="0" fontId="28" fillId="0" borderId="9" xfId="1" applyFont="1" applyBorder="1" applyAlignment="1" applyProtection="1">
      <alignment horizontal="right" vertical="center" wrapText="1"/>
    </xf>
    <xf numFmtId="0" fontId="3" fillId="0" borderId="5" xfId="1" applyFont="1" applyBorder="1" applyAlignment="1" applyProtection="1">
      <alignment horizontal="center" vertical="center"/>
    </xf>
    <xf numFmtId="0" fontId="28" fillId="0" borderId="8" xfId="1" applyFont="1" applyBorder="1" applyAlignment="1" applyProtection="1">
      <alignment horizontal="right" vertical="center" wrapText="1"/>
    </xf>
    <xf numFmtId="43" fontId="52" fillId="0" borderId="9" xfId="7" applyFont="1" applyFill="1" applyBorder="1" applyAlignment="1">
      <alignment horizontal="justify" vertical="center" wrapText="1"/>
    </xf>
    <xf numFmtId="43" fontId="7" fillId="0" borderId="9" xfId="7" applyFont="1" applyFill="1" applyBorder="1" applyAlignment="1" applyProtection="1">
      <alignment vertical="center" wrapText="1"/>
    </xf>
    <xf numFmtId="43" fontId="7" fillId="0" borderId="9" xfId="7" applyFont="1" applyFill="1" applyBorder="1" applyAlignment="1">
      <alignment horizontal="justify" vertical="center" wrapText="1"/>
    </xf>
    <xf numFmtId="43" fontId="52" fillId="0" borderId="9" xfId="7" applyFont="1" applyFill="1" applyBorder="1" applyAlignment="1">
      <alignment horizontal="justify" vertical="center" wrapText="1"/>
    </xf>
    <xf numFmtId="43" fontId="7" fillId="0" borderId="9" xfId="7" applyFont="1" applyFill="1" applyBorder="1" applyAlignment="1" applyProtection="1">
      <alignment vertical="center" wrapText="1"/>
    </xf>
    <xf numFmtId="43" fontId="7" fillId="0" borderId="9" xfId="7" applyFont="1" applyFill="1" applyBorder="1" applyAlignment="1">
      <alignment horizontal="justify" vertical="center" wrapText="1"/>
    </xf>
    <xf numFmtId="0" fontId="53" fillId="0" borderId="9" xfId="1" applyFont="1" applyBorder="1" applyAlignment="1" applyProtection="1">
      <alignment vertical="center" wrapText="1"/>
    </xf>
    <xf numFmtId="0" fontId="32" fillId="0" borderId="2" xfId="1" applyFont="1" applyBorder="1" applyAlignment="1" applyProtection="1">
      <alignment horizontal="left" vertical="center" wrapText="1"/>
    </xf>
    <xf numFmtId="0" fontId="32" fillId="0" borderId="5" xfId="1" applyFont="1" applyBorder="1" applyAlignment="1" applyProtection="1">
      <alignment horizontal="left" vertical="center" wrapText="1"/>
    </xf>
    <xf numFmtId="0" fontId="32" fillId="0" borderId="8" xfId="1" applyFont="1" applyBorder="1" applyAlignment="1" applyProtection="1">
      <alignment horizontal="left" vertical="center" wrapText="1"/>
    </xf>
    <xf numFmtId="0" fontId="25" fillId="0" borderId="5" xfId="1" applyFont="1" applyBorder="1" applyAlignment="1" applyProtection="1">
      <alignment horizontal="left" vertical="center" wrapText="1"/>
    </xf>
    <xf numFmtId="0" fontId="25" fillId="0" borderId="8" xfId="1" applyFont="1" applyBorder="1" applyAlignment="1" applyProtection="1">
      <alignment horizontal="left" vertical="center" wrapText="1"/>
    </xf>
    <xf numFmtId="0" fontId="31" fillId="0" borderId="2" xfId="1" applyFont="1" applyBorder="1" applyAlignment="1" applyProtection="1">
      <alignment horizontal="left" vertical="center" wrapText="1"/>
    </xf>
    <xf numFmtId="164" fontId="2" fillId="4" borderId="0" xfId="1" applyNumberFormat="1" applyFont="1" applyFill="1" applyAlignment="1" applyProtection="1">
      <alignment vertical="center" wrapText="1"/>
    </xf>
    <xf numFmtId="164" fontId="13" fillId="4" borderId="0" xfId="1" applyNumberFormat="1" applyFont="1" applyFill="1" applyAlignment="1" applyProtection="1">
      <alignment vertical="center" wrapText="1"/>
    </xf>
    <xf numFmtId="164" fontId="13" fillId="4" borderId="1" xfId="1" applyNumberFormat="1" applyFont="1" applyFill="1" applyBorder="1" applyAlignment="1" applyProtection="1">
      <alignment vertical="center" wrapText="1"/>
    </xf>
    <xf numFmtId="49" fontId="13" fillId="4" borderId="9" xfId="1" applyNumberFormat="1" applyFont="1" applyFill="1" applyBorder="1" applyAlignment="1" applyProtection="1">
      <alignment horizontal="center" vertical="center" wrapText="1"/>
    </xf>
    <xf numFmtId="165" fontId="3" fillId="4" borderId="9" xfId="1" applyNumberFormat="1" applyFont="1" applyFill="1" applyBorder="1" applyAlignment="1" applyProtection="1">
      <alignment horizontal="center" vertical="center" wrapText="1"/>
    </xf>
    <xf numFmtId="0" fontId="10" fillId="4" borderId="0" xfId="1" applyFont="1" applyFill="1" applyProtection="1"/>
    <xf numFmtId="0" fontId="3" fillId="0" borderId="2" xfId="1" applyFont="1" applyFill="1" applyBorder="1" applyAlignment="1" applyProtection="1">
      <alignment horizontal="left" vertical="top" wrapText="1"/>
    </xf>
    <xf numFmtId="0" fontId="3" fillId="0" borderId="8" xfId="1" applyFont="1" applyFill="1" applyBorder="1" applyAlignment="1" applyProtection="1">
      <alignment horizontal="left" vertical="top" wrapText="1"/>
    </xf>
    <xf numFmtId="0" fontId="3" fillId="3" borderId="9" xfId="0" applyFont="1" applyFill="1" applyBorder="1" applyAlignment="1">
      <alignment horizontal="left" vertical="center" wrapText="1"/>
    </xf>
    <xf numFmtId="0" fontId="31" fillId="3" borderId="9" xfId="0" applyFont="1" applyFill="1" applyBorder="1" applyAlignment="1">
      <alignment horizontal="left" vertical="center" wrapText="1"/>
    </xf>
    <xf numFmtId="165" fontId="3" fillId="3" borderId="9" xfId="0" applyNumberFormat="1" applyFont="1" applyFill="1" applyBorder="1" applyAlignment="1">
      <alignment horizontal="left" vertical="top" wrapText="1"/>
    </xf>
    <xf numFmtId="166" fontId="23" fillId="0" borderId="0" xfId="1" applyNumberFormat="1" applyFont="1" applyAlignment="1" applyProtection="1">
      <alignment vertical="center"/>
    </xf>
    <xf numFmtId="166" fontId="38" fillId="24" borderId="9" xfId="1" applyNumberFormat="1" applyFont="1" applyFill="1" applyBorder="1" applyAlignment="1" applyProtection="1">
      <alignment horizontal="center" vertical="center"/>
      <protection locked="0"/>
    </xf>
    <xf numFmtId="166" fontId="35" fillId="3" borderId="9" xfId="1" applyNumberFormat="1" applyFont="1" applyFill="1" applyBorder="1" applyAlignment="1" applyProtection="1">
      <alignment horizontal="center" vertical="center"/>
      <protection locked="0"/>
    </xf>
    <xf numFmtId="166" fontId="38" fillId="3" borderId="9" xfId="1" applyNumberFormat="1" applyFont="1" applyFill="1" applyBorder="1" applyAlignment="1" applyProtection="1">
      <alignment horizontal="center" vertical="center"/>
      <protection locked="0"/>
    </xf>
    <xf numFmtId="0" fontId="38" fillId="0" borderId="9" xfId="0" applyFont="1" applyBorder="1" applyAlignment="1">
      <alignment horizontal="center" vertical="center" wrapText="1"/>
    </xf>
    <xf numFmtId="0" fontId="38" fillId="25" borderId="13" xfId="0" applyFont="1" applyFill="1" applyBorder="1" applyAlignment="1">
      <alignment horizontal="center" vertical="center" wrapText="1"/>
    </xf>
    <xf numFmtId="0" fontId="38" fillId="0" borderId="0" xfId="0" applyFont="1" applyAlignment="1">
      <alignment horizontal="center" vertical="center" wrapText="1"/>
    </xf>
    <xf numFmtId="166" fontId="3" fillId="3" borderId="10" xfId="1" applyNumberFormat="1" applyFont="1" applyFill="1" applyBorder="1" applyAlignment="1" applyProtection="1">
      <alignment horizontal="center" vertical="center"/>
      <protection locked="0"/>
    </xf>
    <xf numFmtId="0" fontId="38" fillId="25" borderId="9" xfId="0" applyFont="1" applyFill="1" applyBorder="1" applyAlignment="1">
      <alignment horizontal="center" vertical="center" wrapText="1"/>
    </xf>
    <xf numFmtId="0" fontId="3" fillId="0" borderId="9" xfId="1" applyFont="1" applyBorder="1" applyAlignment="1" applyProtection="1">
      <alignment horizontal="center" vertical="center" wrapText="1"/>
    </xf>
    <xf numFmtId="0" fontId="54" fillId="0" borderId="2" xfId="0" applyFont="1" applyFill="1" applyBorder="1" applyAlignment="1">
      <alignment horizontal="justify" vertical="center" wrapText="1"/>
    </xf>
    <xf numFmtId="164" fontId="13" fillId="0" borderId="3" xfId="1" applyNumberFormat="1" applyFont="1" applyBorder="1" applyAlignment="1" applyProtection="1">
      <alignment horizontal="center" vertical="center" wrapText="1"/>
    </xf>
    <xf numFmtId="164" fontId="13" fillId="0" borderId="4" xfId="1" applyNumberFormat="1" applyFont="1" applyBorder="1" applyAlignment="1" applyProtection="1">
      <alignment horizontal="center" vertical="center" wrapText="1"/>
    </xf>
    <xf numFmtId="164" fontId="13" fillId="0" borderId="6" xfId="1" applyNumberFormat="1" applyFont="1" applyBorder="1" applyAlignment="1" applyProtection="1">
      <alignment horizontal="center" vertical="center" wrapText="1"/>
    </xf>
    <xf numFmtId="164" fontId="13" fillId="0" borderId="7" xfId="1" applyNumberFormat="1" applyFont="1" applyBorder="1" applyAlignment="1" applyProtection="1">
      <alignment horizontal="center" vertical="center" wrapText="1"/>
    </xf>
    <xf numFmtId="164" fontId="13" fillId="0" borderId="0" xfId="1" applyNumberFormat="1" applyFont="1" applyAlignment="1" applyProtection="1">
      <alignment horizontal="center" vertical="center" wrapText="1"/>
    </xf>
    <xf numFmtId="164" fontId="13" fillId="0" borderId="1" xfId="1" applyNumberFormat="1" applyFont="1" applyBorder="1" applyAlignment="1" applyProtection="1">
      <alignment horizontal="center" vertical="center" wrapText="1"/>
    </xf>
    <xf numFmtId="0" fontId="13" fillId="0" borderId="2"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2" xfId="1" applyFont="1" applyBorder="1" applyAlignment="1" applyProtection="1">
      <alignment horizontal="center"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horizontal="center" vertical="top" wrapText="1"/>
    </xf>
    <xf numFmtId="0" fontId="26" fillId="0" borderId="2" xfId="1" applyFont="1" applyBorder="1" applyAlignment="1" applyProtection="1">
      <alignment horizontal="center" vertical="top" wrapText="1"/>
    </xf>
    <xf numFmtId="0" fontId="26" fillId="0" borderId="5" xfId="1" applyFont="1" applyBorder="1" applyAlignment="1" applyProtection="1">
      <alignment horizontal="center" vertical="top" wrapText="1"/>
    </xf>
    <xf numFmtId="0" fontId="26" fillId="0" borderId="8" xfId="1" applyFont="1" applyBorder="1" applyAlignment="1" applyProtection="1">
      <alignment horizontal="center" vertical="top" wrapText="1"/>
    </xf>
    <xf numFmtId="164" fontId="13" fillId="0" borderId="2" xfId="1" applyNumberFormat="1" applyFont="1" applyFill="1" applyBorder="1" applyAlignment="1" applyProtection="1">
      <alignment horizontal="center" vertical="center" wrapText="1"/>
    </xf>
    <xf numFmtId="164" fontId="13" fillId="0" borderId="5" xfId="1" applyNumberFormat="1" applyFont="1" applyFill="1" applyBorder="1" applyAlignment="1" applyProtection="1">
      <alignment horizontal="center" vertical="center" wrapText="1"/>
    </xf>
    <xf numFmtId="164" fontId="13" fillId="0" borderId="2" xfId="1" applyNumberFormat="1" applyFont="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23" fillId="0" borderId="2"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8" xfId="1" applyFont="1" applyFill="1" applyBorder="1" applyAlignment="1" applyProtection="1">
      <alignment horizontal="center" vertical="center"/>
    </xf>
    <xf numFmtId="0" fontId="13" fillId="0" borderId="2"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8" xfId="1" applyFont="1" applyFill="1" applyBorder="1" applyAlignment="1" applyProtection="1">
      <alignment horizontal="center" vertical="center" wrapText="1"/>
    </xf>
    <xf numFmtId="0" fontId="3" fillId="0" borderId="10"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13" fillId="0" borderId="2"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2"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16" fontId="13" fillId="0" borderId="2" xfId="1" applyNumberFormat="1" applyFont="1" applyBorder="1" applyAlignment="1" applyProtection="1">
      <alignment horizontal="center" vertical="center"/>
    </xf>
    <xf numFmtId="16" fontId="13" fillId="0" borderId="5" xfId="1" applyNumberFormat="1" applyFont="1" applyBorder="1" applyAlignment="1" applyProtection="1">
      <alignment horizontal="center" vertical="center"/>
    </xf>
    <xf numFmtId="16" fontId="21" fillId="0" borderId="2" xfId="1" applyNumberFormat="1" applyFont="1" applyBorder="1" applyAlignment="1" applyProtection="1">
      <alignment horizontal="center" vertical="center"/>
    </xf>
    <xf numFmtId="16" fontId="21" fillId="0" borderId="5" xfId="1" applyNumberFormat="1" applyFont="1" applyBorder="1" applyAlignment="1" applyProtection="1">
      <alignment horizontal="center" vertical="center"/>
    </xf>
    <xf numFmtId="0" fontId="21" fillId="0" borderId="5" xfId="1" applyFont="1" applyBorder="1" applyAlignment="1" applyProtection="1">
      <alignment horizontal="center" vertical="center"/>
    </xf>
    <xf numFmtId="0" fontId="3" fillId="0" borderId="2" xfId="1" applyFont="1" applyBorder="1" applyAlignment="1" applyProtection="1">
      <alignment horizontal="right" vertical="center" wrapText="1"/>
    </xf>
    <xf numFmtId="0" fontId="3" fillId="0" borderId="5" xfId="1" applyFont="1" applyBorder="1" applyAlignment="1" applyProtection="1">
      <alignment horizontal="right" vertical="center" wrapText="1"/>
    </xf>
    <xf numFmtId="0" fontId="3" fillId="0" borderId="9" xfId="1" applyFont="1" applyBorder="1" applyAlignment="1" applyProtection="1">
      <alignment horizontal="right" vertical="center" wrapText="1"/>
    </xf>
    <xf numFmtId="0" fontId="21" fillId="0" borderId="2" xfId="1" applyFont="1" applyBorder="1" applyAlignment="1" applyProtection="1">
      <alignment horizontal="center" vertical="center"/>
    </xf>
    <xf numFmtId="0" fontId="21" fillId="0" borderId="8" xfId="1" applyFont="1" applyBorder="1" applyAlignment="1" applyProtection="1">
      <alignment horizontal="center" vertical="center"/>
    </xf>
    <xf numFmtId="0" fontId="27" fillId="0" borderId="2" xfId="1" applyFont="1" applyBorder="1" applyAlignment="1" applyProtection="1">
      <alignment horizontal="right" vertical="center" wrapText="1"/>
    </xf>
    <xf numFmtId="0" fontId="27" fillId="0" borderId="5" xfId="1" applyFont="1" applyBorder="1" applyAlignment="1" applyProtection="1">
      <alignment horizontal="right" vertical="center" wrapText="1"/>
    </xf>
    <xf numFmtId="0" fontId="28" fillId="0" borderId="9" xfId="1" applyFont="1" applyBorder="1" applyAlignment="1" applyProtection="1">
      <alignment horizontal="right" vertical="center" wrapText="1"/>
    </xf>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0" fontId="28" fillId="0" borderId="5" xfId="1" applyFont="1" applyBorder="1" applyAlignment="1" applyProtection="1">
      <alignment horizontal="right" vertical="center" wrapText="1"/>
    </xf>
    <xf numFmtId="0" fontId="28" fillId="0" borderId="8" xfId="1" applyFont="1" applyBorder="1" applyAlignment="1" applyProtection="1">
      <alignment horizontal="right" vertical="center" wrapText="1"/>
    </xf>
    <xf numFmtId="16" fontId="2" fillId="0" borderId="2" xfId="1" applyNumberFormat="1" applyFont="1" applyBorder="1" applyAlignment="1" applyProtection="1">
      <alignment horizontal="center" vertical="center"/>
    </xf>
    <xf numFmtId="16" fontId="2" fillId="0" borderId="5" xfId="1" applyNumberFormat="1" applyFont="1" applyBorder="1" applyAlignment="1" applyProtection="1">
      <alignment horizontal="center" vertical="center"/>
    </xf>
    <xf numFmtId="0" fontId="2" fillId="0" borderId="5" xfId="1" applyFont="1" applyBorder="1" applyAlignment="1" applyProtection="1">
      <alignment horizontal="center" vertical="center"/>
    </xf>
    <xf numFmtId="0" fontId="3" fillId="0" borderId="8" xfId="1" applyFont="1" applyBorder="1" applyAlignment="1" applyProtection="1">
      <alignment horizontal="center" vertical="center"/>
    </xf>
    <xf numFmtId="0" fontId="27" fillId="0" borderId="9" xfId="1" applyFont="1" applyBorder="1" applyAlignment="1" applyProtection="1">
      <alignment horizontal="right" vertical="center" wrapText="1"/>
    </xf>
    <xf numFmtId="0" fontId="13" fillId="0" borderId="2"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28" fillId="0" borderId="9" xfId="1" applyFont="1" applyFill="1" applyBorder="1" applyAlignment="1" applyProtection="1">
      <alignment horizontal="right" vertical="center" wrapText="1"/>
    </xf>
    <xf numFmtId="0" fontId="27" fillId="0" borderId="2"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27" fillId="0" borderId="8" xfId="1" applyFont="1" applyFill="1" applyBorder="1" applyAlignment="1" applyProtection="1">
      <alignment horizontal="right" vertical="center" wrapText="1"/>
    </xf>
    <xf numFmtId="0" fontId="3" fillId="0" borderId="2" xfId="1" applyFont="1" applyFill="1" applyBorder="1" applyAlignment="1" applyProtection="1">
      <alignment horizontal="right" vertical="center" wrapText="1"/>
    </xf>
    <xf numFmtId="0" fontId="3" fillId="0" borderId="5" xfId="1" applyFont="1" applyFill="1" applyBorder="1" applyAlignment="1" applyProtection="1">
      <alignment horizontal="right" vertical="center" wrapText="1"/>
    </xf>
    <xf numFmtId="0" fontId="3" fillId="0" borderId="8" xfId="1" applyFont="1" applyFill="1" applyBorder="1" applyAlignment="1" applyProtection="1">
      <alignment horizontal="right" vertical="center" wrapText="1"/>
    </xf>
    <xf numFmtId="0" fontId="13" fillId="0" borderId="2"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13" fillId="0" borderId="5" xfId="1" applyFont="1" applyFill="1" applyBorder="1" applyAlignment="1" applyProtection="1">
      <alignment horizontal="center" vertical="center"/>
    </xf>
    <xf numFmtId="0" fontId="23" fillId="0" borderId="2"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8" xfId="1" applyFont="1" applyBorder="1" applyAlignment="1" applyProtection="1">
      <alignment horizontal="center" vertical="center"/>
    </xf>
    <xf numFmtId="164" fontId="13" fillId="0" borderId="8" xfId="1" applyNumberFormat="1" applyFont="1" applyBorder="1" applyAlignment="1" applyProtection="1">
      <alignment horizontal="center" vertical="center" wrapText="1"/>
    </xf>
    <xf numFmtId="0" fontId="3" fillId="2" borderId="10"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wrapText="1"/>
    </xf>
    <xf numFmtId="0" fontId="13" fillId="2" borderId="2" xfId="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8" xfId="1" applyFont="1" applyFill="1" applyBorder="1" applyAlignment="1" applyProtection="1">
      <alignment horizontal="center" vertical="center"/>
    </xf>
    <xf numFmtId="0" fontId="13" fillId="2" borderId="2"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16" fontId="13" fillId="0" borderId="8" xfId="1" applyNumberFormat="1" applyFont="1" applyBorder="1" applyAlignment="1" applyProtection="1">
      <alignment horizontal="center" vertical="center"/>
    </xf>
    <xf numFmtId="0" fontId="3" fillId="0" borderId="8" xfId="1" applyFont="1" applyBorder="1" applyAlignment="1" applyProtection="1">
      <alignment horizontal="right" vertical="center" wrapText="1"/>
    </xf>
    <xf numFmtId="0" fontId="3" fillId="0" borderId="10"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13" fillId="0" borderId="5" xfId="1" applyFont="1" applyFill="1" applyBorder="1" applyAlignment="1" applyProtection="1">
      <alignment horizontal="left" vertical="center" wrapText="1"/>
    </xf>
    <xf numFmtId="0" fontId="28" fillId="0" borderId="2" xfId="1" applyFont="1" applyFill="1" applyBorder="1" applyAlignment="1" applyProtection="1">
      <alignment horizontal="right" vertical="center" wrapText="1"/>
    </xf>
    <xf numFmtId="0" fontId="28" fillId="0" borderId="5" xfId="1" applyFont="1" applyFill="1" applyBorder="1" applyAlignment="1" applyProtection="1">
      <alignment horizontal="right" vertical="center" wrapText="1"/>
    </xf>
    <xf numFmtId="0" fontId="28" fillId="0" borderId="8" xfId="1" applyFont="1" applyFill="1" applyBorder="1" applyAlignment="1" applyProtection="1">
      <alignment horizontal="right" vertical="center" wrapText="1"/>
    </xf>
    <xf numFmtId="14" fontId="13" fillId="0" borderId="2" xfId="1" applyNumberFormat="1" applyFont="1" applyBorder="1" applyAlignment="1" applyProtection="1">
      <alignment horizontal="center" vertical="center"/>
    </xf>
    <xf numFmtId="0" fontId="0" fillId="0" borderId="8" xfId="0" applyBorder="1" applyAlignment="1">
      <alignment horizontal="center" vertical="center"/>
    </xf>
    <xf numFmtId="0" fontId="12" fillId="0" borderId="8" xfId="0" applyFont="1" applyFill="1" applyBorder="1" applyAlignment="1">
      <alignment horizontal="right" vertical="center" wrapText="1"/>
    </xf>
    <xf numFmtId="0" fontId="12" fillId="0" borderId="8" xfId="0" applyFont="1" applyBorder="1" applyAlignment="1">
      <alignment horizontal="center" vertical="center"/>
    </xf>
    <xf numFmtId="0" fontId="33" fillId="0" borderId="2"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3" fillId="0" borderId="8" xfId="1" applyFont="1" applyFill="1" applyBorder="1" applyAlignment="1" applyProtection="1">
      <alignment horizontal="center" vertical="center"/>
    </xf>
    <xf numFmtId="0" fontId="13" fillId="0" borderId="2" xfId="1" applyFont="1" applyBorder="1" applyAlignment="1" applyProtection="1">
      <alignment horizontal="center"/>
    </xf>
    <xf numFmtId="0" fontId="13" fillId="0" borderId="5" xfId="1" applyFont="1" applyBorder="1" applyAlignment="1" applyProtection="1">
      <alignment horizontal="center"/>
    </xf>
    <xf numFmtId="0" fontId="13" fillId="0" borderId="8" xfId="1" applyFont="1" applyBorder="1" applyAlignment="1" applyProtection="1">
      <alignment horizontal="center"/>
    </xf>
    <xf numFmtId="0" fontId="3" fillId="0" borderId="2" xfId="1" applyFont="1" applyBorder="1" applyAlignment="1" applyProtection="1">
      <alignment horizontal="left" vertical="center" wrapText="1"/>
    </xf>
    <xf numFmtId="0" fontId="3" fillId="0" borderId="5" xfId="1" applyFont="1" applyBorder="1" applyAlignment="1" applyProtection="1">
      <alignment horizontal="left" vertical="center" wrapText="1"/>
    </xf>
    <xf numFmtId="16" fontId="13" fillId="2" borderId="2" xfId="1" applyNumberFormat="1" applyFont="1" applyFill="1" applyBorder="1" applyAlignment="1" applyProtection="1">
      <alignment horizontal="center" vertical="center"/>
    </xf>
    <xf numFmtId="16" fontId="13" fillId="2" borderId="5" xfId="1" applyNumberFormat="1" applyFont="1" applyFill="1" applyBorder="1" applyAlignment="1" applyProtection="1">
      <alignment horizontal="center" vertical="center"/>
    </xf>
    <xf numFmtId="0" fontId="3" fillId="0" borderId="8" xfId="1" applyFont="1" applyBorder="1" applyAlignment="1" applyProtection="1">
      <alignment horizontal="left" vertical="center" wrapText="1"/>
    </xf>
    <xf numFmtId="16" fontId="13" fillId="2" borderId="8" xfId="1" applyNumberFormat="1" applyFont="1" applyFill="1" applyBorder="1" applyAlignment="1" applyProtection="1">
      <alignment horizontal="center" vertical="center"/>
    </xf>
    <xf numFmtId="0" fontId="3" fillId="0" borderId="9" xfId="1" applyFont="1" applyBorder="1" applyAlignment="1" applyProtection="1">
      <alignment horizontal="left" vertical="center" wrapText="1"/>
    </xf>
    <xf numFmtId="0" fontId="23" fillId="17" borderId="2" xfId="1" applyFont="1" applyFill="1" applyBorder="1" applyAlignment="1" applyProtection="1">
      <alignment horizontal="center" vertical="center"/>
    </xf>
    <xf numFmtId="0" fontId="23" fillId="17" borderId="5" xfId="1" applyFont="1" applyFill="1" applyBorder="1" applyAlignment="1" applyProtection="1">
      <alignment horizontal="center" vertical="center"/>
    </xf>
    <xf numFmtId="0" fontId="23" fillId="17" borderId="8" xfId="1" applyFont="1" applyFill="1" applyBorder="1" applyAlignment="1" applyProtection="1">
      <alignment horizontal="center" vertical="center"/>
    </xf>
    <xf numFmtId="0" fontId="13" fillId="17" borderId="2" xfId="1" applyFont="1" applyFill="1" applyBorder="1" applyAlignment="1" applyProtection="1">
      <alignment horizontal="center" vertical="center" wrapText="1"/>
    </xf>
    <xf numFmtId="0" fontId="13" fillId="17" borderId="5" xfId="1" applyFont="1" applyFill="1" applyBorder="1" applyAlignment="1" applyProtection="1">
      <alignment horizontal="center" vertical="center" wrapText="1"/>
    </xf>
    <xf numFmtId="0" fontId="13" fillId="17" borderId="8" xfId="1" applyFont="1" applyFill="1" applyBorder="1" applyAlignment="1" applyProtection="1">
      <alignment horizontal="center" vertical="center" wrapText="1"/>
    </xf>
    <xf numFmtId="0" fontId="3" fillId="0" borderId="2" xfId="1" applyFont="1" applyBorder="1" applyAlignment="1" applyProtection="1">
      <alignment horizontal="left" vertical="top" wrapText="1"/>
    </xf>
    <xf numFmtId="0" fontId="3" fillId="0" borderId="5" xfId="1" applyFont="1" applyBorder="1" applyAlignment="1" applyProtection="1">
      <alignment horizontal="left" vertical="top" wrapText="1"/>
    </xf>
    <xf numFmtId="0" fontId="3" fillId="0" borderId="8" xfId="1" applyFont="1" applyBorder="1" applyAlignment="1" applyProtection="1">
      <alignment horizontal="left" vertical="top" wrapText="1"/>
    </xf>
    <xf numFmtId="0" fontId="13" fillId="7" borderId="2" xfId="1" applyFont="1" applyFill="1" applyBorder="1" applyAlignment="1" applyProtection="1">
      <alignment horizontal="center" vertical="center" wrapText="1"/>
    </xf>
    <xf numFmtId="0" fontId="13" fillId="7" borderId="5" xfId="1" applyFont="1" applyFill="1" applyBorder="1" applyAlignment="1" applyProtection="1">
      <alignment horizontal="center" vertical="center" wrapText="1"/>
    </xf>
    <xf numFmtId="0" fontId="13" fillId="7" borderId="8"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0" fontId="12" fillId="0" borderId="8" xfId="0" applyFont="1" applyFill="1" applyBorder="1" applyAlignment="1">
      <alignment horizontal="left" vertical="center" wrapText="1"/>
    </xf>
    <xf numFmtId="164" fontId="13" fillId="0" borderId="3" xfId="1" applyNumberFormat="1" applyFont="1" applyFill="1" applyBorder="1" applyAlignment="1" applyProtection="1">
      <alignment horizontal="center" vertical="center" wrapText="1"/>
    </xf>
    <xf numFmtId="164" fontId="13" fillId="0" borderId="4" xfId="1" applyNumberFormat="1" applyFont="1" applyFill="1" applyBorder="1" applyAlignment="1" applyProtection="1">
      <alignment horizontal="center" vertical="center" wrapText="1"/>
    </xf>
    <xf numFmtId="164" fontId="13" fillId="0" borderId="6" xfId="1" applyNumberFormat="1" applyFont="1" applyFill="1" applyBorder="1" applyAlignment="1" applyProtection="1">
      <alignment horizontal="center" vertical="center" wrapText="1"/>
    </xf>
    <xf numFmtId="164" fontId="13" fillId="0" borderId="7" xfId="1" applyNumberFormat="1" applyFont="1" applyFill="1" applyBorder="1" applyAlignment="1" applyProtection="1">
      <alignment horizontal="center" vertical="center" wrapText="1"/>
    </xf>
    <xf numFmtId="164" fontId="13" fillId="0" borderId="0" xfId="1" applyNumberFormat="1" applyFont="1" applyFill="1" applyAlignment="1" applyProtection="1">
      <alignment horizontal="center" vertical="center" wrapText="1"/>
    </xf>
    <xf numFmtId="164"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top" wrapText="1"/>
    </xf>
    <xf numFmtId="0" fontId="13" fillId="0" borderId="5"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2" xfId="1" applyFont="1" applyFill="1" applyBorder="1" applyAlignment="1" applyProtection="1">
      <alignment horizontal="center" vertical="top" wrapText="1"/>
    </xf>
    <xf numFmtId="0" fontId="13" fillId="0" borderId="5" xfId="1" applyFont="1" applyFill="1" applyBorder="1" applyAlignment="1" applyProtection="1">
      <alignment horizontal="center" vertical="top" wrapText="1"/>
    </xf>
    <xf numFmtId="0" fontId="13" fillId="0" borderId="8" xfId="1" applyFont="1" applyFill="1" applyBorder="1" applyAlignment="1" applyProtection="1">
      <alignment horizontal="center" vertical="top" wrapText="1"/>
    </xf>
    <xf numFmtId="164" fontId="35" fillId="21" borderId="2" xfId="1" applyNumberFormat="1" applyFont="1" applyFill="1" applyBorder="1" applyAlignment="1" applyProtection="1">
      <alignment horizontal="center" vertical="center" wrapText="1"/>
    </xf>
    <xf numFmtId="164" fontId="35" fillId="21" borderId="5" xfId="1" applyNumberFormat="1" applyFont="1" applyFill="1" applyBorder="1" applyAlignment="1" applyProtection="1">
      <alignment horizontal="center" vertical="center" wrapText="1"/>
    </xf>
    <xf numFmtId="164" fontId="35" fillId="0" borderId="2" xfId="1" applyNumberFormat="1" applyFont="1" applyFill="1" applyBorder="1" applyAlignment="1" applyProtection="1">
      <alignment horizontal="center" vertical="center" wrapText="1"/>
    </xf>
    <xf numFmtId="164" fontId="35" fillId="0" borderId="5" xfId="1" applyNumberFormat="1" applyFont="1" applyFill="1" applyBorder="1" applyAlignment="1" applyProtection="1">
      <alignment horizontal="center" vertical="center" wrapText="1"/>
    </xf>
    <xf numFmtId="0" fontId="21" fillId="0" borderId="2" xfId="1" applyFont="1" applyBorder="1" applyAlignment="1" applyProtection="1">
      <alignment horizontal="center"/>
    </xf>
    <xf numFmtId="0" fontId="21" fillId="0" borderId="8" xfId="1" applyFont="1" applyBorder="1" applyAlignment="1" applyProtection="1">
      <alignment horizontal="center"/>
    </xf>
    <xf numFmtId="0" fontId="3" fillId="3" borderId="2" xfId="1" applyFont="1" applyFill="1" applyBorder="1" applyAlignment="1" applyProtection="1">
      <alignment horizontal="center" vertical="top" wrapText="1"/>
    </xf>
    <xf numFmtId="0" fontId="3" fillId="3" borderId="8" xfId="1" applyFont="1" applyFill="1" applyBorder="1" applyAlignment="1" applyProtection="1">
      <alignment horizontal="center" vertical="top" wrapText="1"/>
    </xf>
    <xf numFmtId="0" fontId="21" fillId="0" borderId="2" xfId="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0" fontId="3" fillId="3" borderId="8" xfId="1" applyFont="1" applyFill="1" applyBorder="1" applyAlignment="1" applyProtection="1">
      <alignment horizontal="center" vertical="center" wrapText="1"/>
    </xf>
    <xf numFmtId="0" fontId="21" fillId="0" borderId="2" xfId="1" applyFont="1" applyBorder="1" applyAlignment="1" applyProtection="1">
      <alignment horizontal="center" wrapText="1"/>
    </xf>
    <xf numFmtId="0" fontId="21" fillId="0" borderId="5" xfId="1" applyFont="1" applyBorder="1" applyAlignment="1" applyProtection="1">
      <alignment horizontal="center" wrapText="1"/>
    </xf>
    <xf numFmtId="0" fontId="3" fillId="3" borderId="5" xfId="1" applyFont="1" applyFill="1" applyBorder="1" applyAlignment="1" applyProtection="1">
      <alignment horizontal="center" vertical="center" wrapText="1"/>
    </xf>
    <xf numFmtId="0" fontId="3" fillId="0" borderId="2" xfId="1" applyFont="1" applyBorder="1" applyAlignment="1" applyProtection="1">
      <alignment horizontal="right" vertical="top" wrapText="1"/>
    </xf>
    <xf numFmtId="0" fontId="3" fillId="0" borderId="8" xfId="1" applyFont="1" applyBorder="1" applyAlignment="1" applyProtection="1">
      <alignment horizontal="right" vertical="top" wrapText="1"/>
    </xf>
    <xf numFmtId="17" fontId="3" fillId="0" borderId="2" xfId="1" applyNumberFormat="1" applyFont="1" applyBorder="1" applyAlignment="1" applyProtection="1">
      <alignment horizontal="center" vertical="center"/>
    </xf>
    <xf numFmtId="0" fontId="3" fillId="0" borderId="2" xfId="1" applyFont="1" applyBorder="1" applyAlignment="1" applyProtection="1">
      <alignment horizontal="center" vertical="center"/>
    </xf>
    <xf numFmtId="0" fontId="3" fillId="0" borderId="2" xfId="1" applyFont="1" applyBorder="1" applyAlignment="1" applyProtection="1">
      <alignment horizontal="center" vertical="top" wrapText="1"/>
    </xf>
    <xf numFmtId="0" fontId="3" fillId="0" borderId="8" xfId="1" applyFont="1" applyBorder="1" applyAlignment="1" applyProtection="1">
      <alignment horizontal="center" vertical="top" wrapText="1"/>
    </xf>
    <xf numFmtId="164" fontId="13" fillId="19" borderId="3" xfId="1" applyNumberFormat="1" applyFont="1" applyFill="1" applyBorder="1" applyAlignment="1" applyProtection="1">
      <alignment horizontal="center" vertical="center" wrapText="1"/>
    </xf>
    <xf numFmtId="164" fontId="13" fillId="19" borderId="4" xfId="1" applyNumberFormat="1" applyFont="1" applyFill="1" applyBorder="1" applyAlignment="1" applyProtection="1">
      <alignment horizontal="center" vertical="center" wrapText="1"/>
    </xf>
    <xf numFmtId="164" fontId="13" fillId="19" borderId="6" xfId="1" applyNumberFormat="1" applyFont="1" applyFill="1" applyBorder="1" applyAlignment="1" applyProtection="1">
      <alignment horizontal="center" vertical="center" wrapText="1"/>
    </xf>
    <xf numFmtId="164" fontId="13" fillId="19" borderId="7" xfId="1" applyNumberFormat="1" applyFont="1" applyFill="1" applyBorder="1" applyAlignment="1" applyProtection="1">
      <alignment horizontal="center" vertical="center" wrapText="1"/>
    </xf>
    <xf numFmtId="0" fontId="28" fillId="0" borderId="9" xfId="1" applyFont="1" applyBorder="1" applyAlignment="1" applyProtection="1">
      <alignment horizontal="left" vertical="center" wrapText="1"/>
    </xf>
    <xf numFmtId="0" fontId="13" fillId="4" borderId="2"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3" fillId="4" borderId="2" xfId="1" applyFont="1" applyFill="1" applyBorder="1" applyAlignment="1" applyProtection="1">
      <alignment horizontal="left" vertical="center" wrapText="1"/>
    </xf>
    <xf numFmtId="0" fontId="13" fillId="4" borderId="8" xfId="1" applyFont="1" applyFill="1" applyBorder="1" applyAlignment="1" applyProtection="1">
      <alignment horizontal="left" vertical="center" wrapText="1"/>
    </xf>
    <xf numFmtId="0" fontId="27" fillId="0" borderId="2" xfId="1" applyFont="1" applyFill="1" applyBorder="1" applyAlignment="1" applyProtection="1">
      <alignment horizontal="left" vertical="center" wrapText="1"/>
    </xf>
    <xf numFmtId="0" fontId="27" fillId="0" borderId="5" xfId="1" applyFont="1" applyFill="1" applyBorder="1" applyAlignment="1" applyProtection="1">
      <alignment horizontal="left" vertical="center" wrapText="1"/>
    </xf>
    <xf numFmtId="0" fontId="27" fillId="4" borderId="2" xfId="1" applyFont="1" applyFill="1" applyBorder="1" applyAlignment="1" applyProtection="1">
      <alignment horizontal="left" vertical="center" wrapText="1"/>
    </xf>
    <xf numFmtId="0" fontId="27" fillId="4" borderId="5" xfId="1" applyFont="1" applyFill="1" applyBorder="1" applyAlignment="1" applyProtection="1">
      <alignment horizontal="left" vertical="center" wrapText="1"/>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3" fillId="0" borderId="7" xfId="1" applyFont="1" applyBorder="1" applyAlignment="1" applyProtection="1">
      <alignment horizontal="left" vertical="center" wrapText="1"/>
    </xf>
    <xf numFmtId="0" fontId="35" fillId="4" borderId="2" xfId="1" applyFont="1" applyFill="1" applyBorder="1" applyAlignment="1" applyProtection="1">
      <alignment horizontal="center" vertical="center"/>
    </xf>
    <xf numFmtId="0" fontId="35" fillId="4" borderId="5" xfId="1" applyFont="1" applyFill="1" applyBorder="1" applyAlignment="1" applyProtection="1">
      <alignment horizontal="center" vertical="center"/>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0" fontId="13" fillId="5" borderId="2" xfId="1" applyFont="1" applyFill="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13" fillId="5" borderId="8" xfId="1" applyFont="1" applyFill="1" applyBorder="1" applyAlignment="1" applyProtection="1">
      <alignment horizontal="center" vertical="center" wrapText="1"/>
    </xf>
    <xf numFmtId="0" fontId="14" fillId="0" borderId="9" xfId="1" applyFont="1" applyBorder="1" applyAlignment="1" applyProtection="1">
      <alignment horizontal="center" vertical="center"/>
    </xf>
    <xf numFmtId="0" fontId="22" fillId="0" borderId="2" xfId="1" applyFont="1" applyBorder="1" applyAlignment="1" applyProtection="1">
      <alignment horizontal="center" vertical="center"/>
    </xf>
    <xf numFmtId="0" fontId="22" fillId="0" borderId="5" xfId="1" applyFont="1" applyBorder="1" applyAlignment="1" applyProtection="1">
      <alignment horizontal="center" vertical="center"/>
    </xf>
    <xf numFmtId="0" fontId="22" fillId="0" borderId="8" xfId="1" applyFont="1" applyBorder="1" applyAlignment="1" applyProtection="1">
      <alignment horizontal="center" vertical="center"/>
    </xf>
    <xf numFmtId="0" fontId="3" fillId="0" borderId="2"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left" vertical="center" wrapText="1"/>
    </xf>
    <xf numFmtId="0" fontId="3" fillId="0" borderId="2" xfId="1" applyFont="1" applyFill="1" applyBorder="1" applyAlignment="1" applyProtection="1">
      <alignment horizontal="left" vertical="center" wrapText="1"/>
    </xf>
    <xf numFmtId="0" fontId="3" fillId="0" borderId="5" xfId="1" applyFont="1" applyFill="1" applyBorder="1" applyAlignment="1" applyProtection="1">
      <alignment horizontal="left" vertical="center" wrapText="1"/>
    </xf>
    <xf numFmtId="0" fontId="3" fillId="0" borderId="8" xfId="1" applyFont="1" applyFill="1" applyBorder="1" applyAlignment="1" applyProtection="1">
      <alignment horizontal="left" vertical="center" wrapText="1"/>
    </xf>
    <xf numFmtId="0" fontId="3" fillId="0" borderId="2" xfId="1" applyFont="1" applyFill="1" applyBorder="1" applyAlignment="1" applyProtection="1">
      <alignment horizontal="center" vertical="top" wrapText="1"/>
    </xf>
    <xf numFmtId="0" fontId="3" fillId="0" borderId="8" xfId="1" applyFont="1" applyFill="1" applyBorder="1" applyAlignment="1" applyProtection="1">
      <alignment horizontal="center" vertical="top" wrapText="1"/>
    </xf>
    <xf numFmtId="166" fontId="3" fillId="0" borderId="2" xfId="1" applyNumberFormat="1" applyFont="1" applyFill="1" applyBorder="1" applyAlignment="1" applyProtection="1">
      <alignment horizontal="center" vertical="center"/>
      <protection locked="0"/>
    </xf>
    <xf numFmtId="166" fontId="3" fillId="0" borderId="8" xfId="1" applyNumberFormat="1" applyFont="1" applyFill="1" applyBorder="1" applyAlignment="1" applyProtection="1">
      <alignment horizontal="center" vertical="center"/>
      <protection locked="0"/>
    </xf>
    <xf numFmtId="0" fontId="13" fillId="0" borderId="2" xfId="1" applyFont="1" applyBorder="1" applyAlignment="1" applyProtection="1">
      <alignment horizontal="center" wrapText="1"/>
    </xf>
    <xf numFmtId="0" fontId="13" fillId="0" borderId="5" xfId="1" applyFont="1" applyBorder="1" applyAlignment="1" applyProtection="1">
      <alignment horizontal="center" wrapText="1"/>
    </xf>
    <xf numFmtId="0" fontId="13" fillId="0" borderId="8" xfId="1" applyFont="1" applyBorder="1" applyAlignment="1" applyProtection="1">
      <alignment horizontal="center" wrapText="1"/>
    </xf>
    <xf numFmtId="166" fontId="3" fillId="0" borderId="2" xfId="1" applyNumberFormat="1" applyFont="1" applyFill="1" applyBorder="1" applyAlignment="1" applyProtection="1">
      <alignment horizontal="center" vertical="center"/>
    </xf>
    <xf numFmtId="166" fontId="3" fillId="0" borderId="8" xfId="1" applyNumberFormat="1" applyFont="1" applyFill="1" applyBorder="1" applyAlignment="1" applyProtection="1">
      <alignment horizontal="center" vertical="center"/>
    </xf>
  </cellXfs>
  <cellStyles count="8">
    <cellStyle name="Обычный" xfId="0" builtinId="0"/>
    <cellStyle name="Обычный 2" xfId="2"/>
    <cellStyle name="Обычный 3" xfId="1"/>
    <cellStyle name="Обычный 3 9" xfId="5"/>
    <cellStyle name="Финансовый 2 2" xfId="4"/>
    <cellStyle name="Финансовый 2 2 2" xfId="7"/>
    <cellStyle name="Финансовый 3" xfId="3"/>
    <cellStyle name="Финансовый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revisionHeaders" Target="revisions/revisionHeader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usernames" Target="revisions/userNam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59;&#1050;\-%20&#1054;&#1058;&#1044;&#1045;&#1051;%20&#1050;&#1059;&#1051;&#1068;&#1058;&#1059;&#1056;&#1067;%20-\&#1057;&#1045;&#1058;&#1045;&#1042;&#1067;&#1045;%20&#1043;&#1056;&#1040;&#1060;&#1048;&#1050;&#1048;%20&#1048;%20&#1058;&#1045;&#1061;&#1047;&#1040;&#1044;&#1040;&#1053;&#1048;&#1071;\2025\&#1050;&#1091;&#1083;&#1100;&#1090;&#1091;&#1088;&#1085;&#1086;&#1077;%20&#1087;&#1088;&#1086;&#1089;&#1090;&#1088;&#1072;&#1085;&#1089;&#1090;&#1074;&#1086;\1.%20&#1040;&#1056;&#1058;\10.%20&#1086;&#1082;&#1090;&#1103;&#1073;&#1088;&#1100;\&#1057;&#1077;&#1090;&#1077;&#1074;&#1099;&#1077;%20&#1075;&#1088;&#1072;&#1092;&#1080;&#1082;&#1080;%20&#1085;&#1072;%2001.1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зв.кул."/>
    </sheetNames>
    <sheetDataSet>
      <sheetData sheetId="0" refreshError="1"/>
    </sheetDataSet>
  </externalBook>
</externalLink>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117" Type="http://schemas.openxmlformats.org/officeDocument/2006/relationships/revisionLog" Target="revisionLog117.xml"/><Relationship Id="rId21" Type="http://schemas.openxmlformats.org/officeDocument/2006/relationships/revisionLog" Target="revisionLog21.xml"/><Relationship Id="rId42" Type="http://schemas.openxmlformats.org/officeDocument/2006/relationships/revisionLog" Target="revisionLog42.xml"/><Relationship Id="rId47" Type="http://schemas.openxmlformats.org/officeDocument/2006/relationships/revisionLog" Target="revisionLog47.xml"/><Relationship Id="rId63" Type="http://schemas.openxmlformats.org/officeDocument/2006/relationships/revisionLog" Target="revisionLog63.xml"/><Relationship Id="rId68" Type="http://schemas.openxmlformats.org/officeDocument/2006/relationships/revisionLog" Target="revisionLog68.xml"/><Relationship Id="rId84" Type="http://schemas.openxmlformats.org/officeDocument/2006/relationships/revisionLog" Target="revisionLog84.xml"/><Relationship Id="rId89" Type="http://schemas.openxmlformats.org/officeDocument/2006/relationships/revisionLog" Target="revisionLog89.xml"/><Relationship Id="rId112" Type="http://schemas.openxmlformats.org/officeDocument/2006/relationships/revisionLog" Target="revisionLog112.xml"/><Relationship Id="rId16" Type="http://schemas.openxmlformats.org/officeDocument/2006/relationships/revisionLog" Target="revisionLog16.xml"/><Relationship Id="rId107" Type="http://schemas.openxmlformats.org/officeDocument/2006/relationships/revisionLog" Target="revisionLog107.xml"/><Relationship Id="rId11" Type="http://schemas.openxmlformats.org/officeDocument/2006/relationships/revisionLog" Target="revisionLog11.xml"/><Relationship Id="rId32" Type="http://schemas.openxmlformats.org/officeDocument/2006/relationships/revisionLog" Target="revisionLog32.xml"/><Relationship Id="rId37" Type="http://schemas.openxmlformats.org/officeDocument/2006/relationships/revisionLog" Target="revisionLog37.xml"/><Relationship Id="rId53" Type="http://schemas.openxmlformats.org/officeDocument/2006/relationships/revisionLog" Target="revisionLog53.xml"/><Relationship Id="rId58" Type="http://schemas.openxmlformats.org/officeDocument/2006/relationships/revisionLog" Target="revisionLog58.xml"/><Relationship Id="rId74" Type="http://schemas.openxmlformats.org/officeDocument/2006/relationships/revisionLog" Target="revisionLog74.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128" Type="http://schemas.openxmlformats.org/officeDocument/2006/relationships/revisionLog" Target="revisionLog128.xml"/><Relationship Id="rId5" Type="http://schemas.openxmlformats.org/officeDocument/2006/relationships/revisionLog" Target="revisionLog5.xml"/><Relationship Id="rId90" Type="http://schemas.openxmlformats.org/officeDocument/2006/relationships/revisionLog" Target="revisionLog90.xml"/><Relationship Id="rId95" Type="http://schemas.openxmlformats.org/officeDocument/2006/relationships/revisionLog" Target="revisionLog95.xml"/><Relationship Id="rId19" Type="http://schemas.openxmlformats.org/officeDocument/2006/relationships/revisionLog" Target="revisionLog1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56" Type="http://schemas.openxmlformats.org/officeDocument/2006/relationships/revisionLog" Target="revisionLog56.xml"/><Relationship Id="rId64" Type="http://schemas.openxmlformats.org/officeDocument/2006/relationships/revisionLog" Target="revisionLog64.xml"/><Relationship Id="rId69" Type="http://schemas.openxmlformats.org/officeDocument/2006/relationships/revisionLog" Target="revisionLog69.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13" Type="http://schemas.openxmlformats.org/officeDocument/2006/relationships/revisionLog" Target="revisionLog113.xml"/><Relationship Id="rId118" Type="http://schemas.openxmlformats.org/officeDocument/2006/relationships/revisionLog" Target="revisionLog118.xml"/><Relationship Id="rId126" Type="http://schemas.openxmlformats.org/officeDocument/2006/relationships/revisionLog" Target="revisionLog126.xml"/><Relationship Id="rId8" Type="http://schemas.openxmlformats.org/officeDocument/2006/relationships/revisionLog" Target="revisionLog8.xml"/><Relationship Id="rId51" Type="http://schemas.openxmlformats.org/officeDocument/2006/relationships/revisionLog" Target="revisionLog51.xml"/><Relationship Id="rId72" Type="http://schemas.openxmlformats.org/officeDocument/2006/relationships/revisionLog" Target="revisionLog72.xml"/><Relationship Id="rId80" Type="http://schemas.openxmlformats.org/officeDocument/2006/relationships/revisionLog" Target="revisionLog80.xml"/><Relationship Id="rId85" Type="http://schemas.openxmlformats.org/officeDocument/2006/relationships/revisionLog" Target="revisionLog85.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59" Type="http://schemas.openxmlformats.org/officeDocument/2006/relationships/revisionLog" Target="revisionLog59.xml"/><Relationship Id="rId67" Type="http://schemas.openxmlformats.org/officeDocument/2006/relationships/revisionLog" Target="revisionLog67.xml"/><Relationship Id="rId103" Type="http://schemas.openxmlformats.org/officeDocument/2006/relationships/revisionLog" Target="revisionLog103.xml"/><Relationship Id="rId108" Type="http://schemas.openxmlformats.org/officeDocument/2006/relationships/revisionLog" Target="revisionLog108.xml"/><Relationship Id="rId116" Type="http://schemas.openxmlformats.org/officeDocument/2006/relationships/revisionLog" Target="revisionLog116.xml"/><Relationship Id="rId124" Type="http://schemas.openxmlformats.org/officeDocument/2006/relationships/revisionLog" Target="revisionLog124.xml"/><Relationship Id="rId129" Type="http://schemas.openxmlformats.org/officeDocument/2006/relationships/revisionLog" Target="revisionLog129.xml"/><Relationship Id="rId20" Type="http://schemas.openxmlformats.org/officeDocument/2006/relationships/revisionLog" Target="revisionLog20.xml"/><Relationship Id="rId41" Type="http://schemas.openxmlformats.org/officeDocument/2006/relationships/revisionLog" Target="revisionLog41.xml"/><Relationship Id="rId54" Type="http://schemas.openxmlformats.org/officeDocument/2006/relationships/revisionLog" Target="revisionLog54.xml"/><Relationship Id="rId62" Type="http://schemas.openxmlformats.org/officeDocument/2006/relationships/revisionLog" Target="revisionLog62.xml"/><Relationship Id="rId70" Type="http://schemas.openxmlformats.org/officeDocument/2006/relationships/revisionLog" Target="revisionLog70.xml"/><Relationship Id="rId75" Type="http://schemas.openxmlformats.org/officeDocument/2006/relationships/revisionLog" Target="revisionLog75.xml"/><Relationship Id="rId83" Type="http://schemas.openxmlformats.org/officeDocument/2006/relationships/revisionLog" Target="revisionLog83.xml"/><Relationship Id="rId88" Type="http://schemas.openxmlformats.org/officeDocument/2006/relationships/revisionLog" Target="revisionLog88.xml"/><Relationship Id="rId91" Type="http://schemas.openxmlformats.org/officeDocument/2006/relationships/revisionLog" Target="revisionLog91.xml"/><Relationship Id="rId96" Type="http://schemas.openxmlformats.org/officeDocument/2006/relationships/revisionLog" Target="revisionLog96.xml"/><Relationship Id="rId111" Type="http://schemas.openxmlformats.org/officeDocument/2006/relationships/revisionLog" Target="revisionLog111.xml"/><Relationship Id="rId1" Type="http://schemas.openxmlformats.org/officeDocument/2006/relationships/revisionLog" Target="revisionLog1.xml"/><Relationship Id="rId6" Type="http://schemas.openxmlformats.org/officeDocument/2006/relationships/revisionLog" Target="revisionLog6.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57" Type="http://schemas.openxmlformats.org/officeDocument/2006/relationships/revisionLog" Target="revisionLog57.xml"/><Relationship Id="rId106" Type="http://schemas.openxmlformats.org/officeDocument/2006/relationships/revisionLog" Target="revisionLog106.xml"/><Relationship Id="rId114" Type="http://schemas.openxmlformats.org/officeDocument/2006/relationships/revisionLog" Target="revisionLog114.xml"/><Relationship Id="rId119" Type="http://schemas.openxmlformats.org/officeDocument/2006/relationships/revisionLog" Target="revisionLog119.xml"/><Relationship Id="rId127" Type="http://schemas.openxmlformats.org/officeDocument/2006/relationships/revisionLog" Target="revisionLog127.xml"/><Relationship Id="rId10" Type="http://schemas.openxmlformats.org/officeDocument/2006/relationships/revisionLog" Target="revisionLog10.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60" Type="http://schemas.openxmlformats.org/officeDocument/2006/relationships/revisionLog" Target="revisionLog60.xml"/><Relationship Id="rId65" Type="http://schemas.openxmlformats.org/officeDocument/2006/relationships/revisionLog" Target="revisionLog65.xml"/><Relationship Id="rId73" Type="http://schemas.openxmlformats.org/officeDocument/2006/relationships/revisionLog" Target="revisionLog73.xml"/><Relationship Id="rId78" Type="http://schemas.openxmlformats.org/officeDocument/2006/relationships/revisionLog" Target="revisionLog78.xml"/><Relationship Id="rId81" Type="http://schemas.openxmlformats.org/officeDocument/2006/relationships/revisionLog" Target="revisionLog81.xml"/><Relationship Id="rId86" Type="http://schemas.openxmlformats.org/officeDocument/2006/relationships/revisionLog" Target="revisionLog86.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30" Type="http://schemas.openxmlformats.org/officeDocument/2006/relationships/revisionLog" Target="revisionLog130.xml"/><Relationship Id="rId4" Type="http://schemas.openxmlformats.org/officeDocument/2006/relationships/revisionLog" Target="revisionLog4.xml"/><Relationship Id="rId9" Type="http://schemas.openxmlformats.org/officeDocument/2006/relationships/revisionLog" Target="revisionLog9.xml"/><Relationship Id="rId13" Type="http://schemas.openxmlformats.org/officeDocument/2006/relationships/revisionLog" Target="revisionLog13.xml"/><Relationship Id="rId18" Type="http://schemas.openxmlformats.org/officeDocument/2006/relationships/revisionLog" Target="revisionLog18.xml"/><Relationship Id="rId39" Type="http://schemas.openxmlformats.org/officeDocument/2006/relationships/revisionLog" Target="revisionLog39.xml"/><Relationship Id="rId109" Type="http://schemas.openxmlformats.org/officeDocument/2006/relationships/revisionLog" Target="revisionLog10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7" Type="http://schemas.openxmlformats.org/officeDocument/2006/relationships/revisionLog" Target="revisionLog7.xml"/><Relationship Id="rId71" Type="http://schemas.openxmlformats.org/officeDocument/2006/relationships/revisionLog" Target="revisionLog71.xml"/><Relationship Id="rId92" Type="http://schemas.openxmlformats.org/officeDocument/2006/relationships/revisionLog" Target="revisionLog92.xml"/><Relationship Id="rId2" Type="http://schemas.openxmlformats.org/officeDocument/2006/relationships/revisionLog" Target="revisionLog2.xml"/><Relationship Id="rId29" Type="http://schemas.openxmlformats.org/officeDocument/2006/relationships/revisionLog" Target="revisionLog29.xml"/><Relationship Id="rId24" Type="http://schemas.openxmlformats.org/officeDocument/2006/relationships/revisionLog" Target="revisionLog24.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61" Type="http://schemas.openxmlformats.org/officeDocument/2006/relationships/revisionLog" Target="revisionLog61.xml"/><Relationship Id="rId82" Type="http://schemas.openxmlformats.org/officeDocument/2006/relationships/revisionLog" Target="revisionLog8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D1B9D35-40BC-44B1-B30F-4043E1B730CB}" diskRevisions="1" revisionId="1124" version="2">
  <header guid="{ADECDC76-3570-4623-ADB7-69AF227276AA}" dateTime="2025-10-30T12:51:17" maxSheetId="22" userName="Цыганкова Ирина Анатольевна" r:id="rId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59E5914-0CA2-40B6-ADF7-FF47E88343FA}" dateTime="2025-10-30T12:53:42" maxSheetId="22" userName="Цыганкова Ирина Анатольевна" r:id="rId2" minRId="1" maxRId="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C259C59-404D-4408-A0EE-B231748EEC5F}" dateTime="2025-10-30T12:57:06" maxSheetId="22" userName="Цыганкова Ирина Анатольевна" r:id="rId3" minRId="11" maxRId="1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EF77AF8-161F-42BC-89FF-5A316CB43523}" dateTime="2025-10-30T12:57:38" maxSheetId="22" userName="Цыганкова Ирина Анатольевна" r:id="rId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D159B33-6C42-470B-86D3-0E932A35D89A}" dateTime="2025-10-30T13:02:19" maxSheetId="22" userName="Цыганкова Ирина Анатольевна" r:id="rId5" minRId="2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A13DD20-B83D-402D-8D84-C8AE3CCB5A3C}" dateTime="2025-10-30T13:02:38" maxSheetId="22" userName="Цыганкова Ирина Анатольевна" r:id="rId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C246951-DA7E-4790-BCE2-76E36474F26B}" dateTime="2025-10-30T13:07:36" maxSheetId="22" userName="Цыганкова Ирина Анатольевна" r:id="rId7" minRId="23" maxRId="5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466BA40-ECD7-4DC3-A661-19B29F7FF7A3}" dateTime="2025-10-30T13:09:40" maxSheetId="22" userName="Цыганкова Ирина Анатольевна" r:id="rId8" minRId="56" maxRId="5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032F4F3-A57A-4358-9345-A677B56CA1CB}" dateTime="2025-10-30T13:37:08" maxSheetId="22" userName="Цыганкова Ирина Анатольевна" r:id="rId9" minRId="5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AAA093B-6096-4D02-A27A-8CB01CCDDF46}" dateTime="2025-10-30T13:38:16" maxSheetId="22" userName="Цыганкова Ирина Анатольевна" r:id="rId10" minRId="5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28ED2FC-9D98-4FBF-A68C-84B888C26D44}" dateTime="2025-10-30T13:40:04" maxSheetId="22" userName="Цыганкова Ирина Анатольевна" r:id="rId11" minRId="60" maxRId="6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D333F2D-23B3-40DC-AE70-4EC3511F86E7}" dateTime="2025-10-30T13:43:18" maxSheetId="22" userName="Цыганкова Ирина Анатольевна" r:id="rId12" minRId="6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003D529-189F-4A6F-B771-DE12C6215CB2}" dateTime="2025-10-30T13:45:43" maxSheetId="22" userName="Цыганкова Ирина Анатольевна" r:id="rId13" minRId="64" maxRId="6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6988D3C-8558-440A-9001-AD4AE84E7B8E}" dateTime="2025-10-30T13:50:33" maxSheetId="22" userName="Цыганкова Ирина Анатольевна" r:id="rId14" minRId="67" maxRId="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1F0661A-0C5A-4BB6-95A1-6D82CC7B54F7}" dateTime="2025-10-30T13:54:54" maxSheetId="22" userName="Цыганкова Ирина Анатольевна" r:id="rId15" minRId="73" maxRId="10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9F6C788-553F-4A2D-82EA-78F95AA6003C}" dateTime="2025-10-30T13:56:33" maxSheetId="22" userName="Цыганкова Ирина Анатольевна" r:id="rId1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0F70E0E-12C7-491A-A395-21D1B6BE6FCF}" dateTime="2025-10-30T13:58:39" maxSheetId="22" userName="Цыганкова Ирина Анатольевна" r:id="rId17" minRId="107" maxRId="11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C0E18D7-8FF3-4504-A835-69145E597E27}" dateTime="2025-10-30T13:58:46" maxSheetId="22" userName="Цыганкова Ирина Анатольевна" r:id="rId1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816E36A-91C3-416E-8B0C-1FE83F30BFB5}" dateTime="2025-10-30T14:03:02" maxSheetId="22" userName="Цыганкова Ирина Анатольевна" r:id="rId19" minRId="116" maxRId="11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1E3D807-9883-4F2F-BB7B-B3D739766DE2}" dateTime="2025-11-05T13:34:29" maxSheetId="22" userName="Харченко Ольга Владимировна" r:id="rId20" minRId="120" maxRId="12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6B50F26-47D8-4EFC-9A26-EF0D0986154B}" dateTime="2025-11-05T13:37:34" maxSheetId="22" userName="Харченко Ольга Владимировна" r:id="rId21" minRId="135" maxRId="15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8A9A9E3-15FC-47F2-862E-B1688DCEBB10}" dateTime="2025-11-05T13:38:49" maxSheetId="22" userName="Харченко Ольга Владимировна" r:id="rId22" minRId="154" maxRId="16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9DFEFB0-7428-496F-8CDF-5BAB2D046BBE}" dateTime="2025-11-05T13:44:31" maxSheetId="22" userName="Харченко Ольга Владимировна" r:id="rId23" minRId="168" maxRId="1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F1092B1-4286-43CB-8F0B-F8AA05D9BACE}" dateTime="2025-11-05T13:50:00" maxSheetId="22" userName="Харченко Ольга Владимировна" r:id="rId24" minRId="173" maxRId="18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A54B871-09C5-418B-9C3C-7FCE7F21CFA9}" dateTime="2025-11-05T13:52:30" maxSheetId="22" userName="Харченко Ольга Владимировна" r:id="rId25" minRId="186" maxRId="19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D1254BE-3042-41E6-ADAF-F3572B761F24}" dateTime="2025-11-05T13:56:10" maxSheetId="22" userName="Харченко Ольга Владимировна" r:id="rId26" minRId="198" maxRId="20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4CC7871-5C9F-45BD-A49F-875A92327B80}" dateTime="2025-11-05T14:07:31" maxSheetId="22" userName="Харченко Ольга Владимировна" r:id="rId27" minRId="201" maxRId="20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621F895-282A-42EB-AFC5-DCE06433FB01}" dateTime="2025-11-05T14:08:31" maxSheetId="22" userName="Харченко Ольга Владимировна" r:id="rId28" minRId="20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9F59A02-2999-4453-9906-140D5C2FDC6A}" dateTime="2025-11-05T14:10:13" maxSheetId="22" userName="Харченко Ольга Владимировна" r:id="rId29" minRId="206" maxRId="20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BEE9AED-746E-479F-8E51-B3F8F547D362}" dateTime="2025-11-05T14:16:38" maxSheetId="22" userName="Харченко Ольга Владимировна" r:id="rId30" minRId="210" maxRId="21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498DD61-53C0-44F1-8E7E-CF311812A0F9}" dateTime="2025-11-05T14:18:16" maxSheetId="22" userName="Харченко Ольга Владимировна" r:id="rId31" minRId="218" maxRId="22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9900DAD-FE60-4A59-97FF-C18FDB104094}" dateTime="2025-11-05T14:18:55" maxSheetId="22" userName="Харченко Ольга Владимировна" r:id="rId32" minRId="226" maxRId="22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81E11BF-D91A-42A5-82D8-43CD95444D57}" dateTime="2025-11-05T14:22:40" maxSheetId="22" userName="Харченко Ольга Владимировна" r:id="rId33" minRId="228" maxRId="2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CD4E449-6D25-43D3-9E34-375325C6D055}" dateTime="2025-11-05T14:25:55" maxSheetId="22" userName="Харченко Ольга Владимировна" r:id="rId34" minRId="241" maxRId="24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54A910A-D9EA-4DEA-BD59-2EE5B07F2FBF}" dateTime="2025-11-05T14:30:56" maxSheetId="22" userName="Харченко Ольга Владимировна" r:id="rId35" minRId="243" maxRId="28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CF48D87-BB60-499E-A8C8-AB72D9DB9D87}" dateTime="2025-11-05T14:32:38" maxSheetId="22" userName="Харченко Ольга Владимировна" r:id="rId36" minRId="287" maxRId="31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CA7C16B-D78D-421C-8000-84B7C78F2F0A}" dateTime="2025-11-05T14:35:44" maxSheetId="22" userName="Харченко Ольга Владимировна" r:id="rId37" minRId="312" maxRId="31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F0D5F34-D45F-49A8-990C-619A27F4C3FB}" dateTime="2025-11-05T14:41:33" maxSheetId="22" userName="Харченко Ольга Владимировна" r:id="rId38" minRId="317" maxRId="32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37D675F-927A-4D27-BEC4-01D9F28BE1CC}" dateTime="2025-11-05T14:41:42" maxSheetId="22" userName="Харченко Ольга Владимировна" r:id="rId3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448767A-64C7-4FCD-8101-D2E5F4E114F4}" dateTime="2025-11-05T14:48:54" maxSheetId="22" userName="Харченко Ольга Владимировна" r:id="rId40" minRId="324" maxRId="32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A847D3C-4476-4D1F-8D98-267AC914A5D1}" dateTime="2025-11-05T14:56:50" maxSheetId="22" userName="Харченко Ольга Владимировна" r:id="rId41" minRId="328" maxRId="33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BBA8C46-2FBB-4D9E-B3EF-2F1FEC6A9EDC}" dateTime="2025-11-05T14:56:59" maxSheetId="22" userName="Харченко Ольга Владимировна" r:id="rId4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3EE967E-B050-47C3-840E-FCF8D94F09AB}" dateTime="2025-11-05T15:02:50" maxSheetId="22" userName="Харченко Ольга Владимировна" r:id="rId43" minRId="338" maxRId="3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5AA0BC1-CC98-40CF-89F2-3A89B966AB58}" dateTime="2025-11-05T15:04:35" maxSheetId="22" userName="Харченко Ольга Владимировна" r:id="rId44" minRId="34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6325EA8-5206-4434-9428-8A78B655547E}" dateTime="2025-11-05T15:07:23" maxSheetId="22" userName="Харченко Ольга Владимировна" r:id="rId45" minRId="342" maxRId="34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5851C49-2BA0-41EA-A5F9-DDEEAA97D6AC}" dateTime="2025-11-05T15:08:16" maxSheetId="22" userName="Тумачкова Екатерина Владимировна" r:id="rId46" minRId="345" maxRId="37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AE838D3-AE55-4646-9C5C-DA0629146D55}" dateTime="2025-11-05T15:08:23" maxSheetId="22" userName="Харченко Ольга Владимировна" r:id="rId47" minRId="38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4B80B47-46E6-468B-BED8-8D7ED53A12DA}" dateTime="2025-11-05T15:12:59" maxSheetId="22" userName="Васильева Мария Сергеевна" r:id="rId48" minRId="385" maxRId="39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F7B7844-C002-42F6-B367-2C86D113F6AE}" dateTime="2025-11-05T15:22:18" maxSheetId="22" userName="Тумачкова Екатерина Владимировна" r:id="rId49" minRId="397" maxRId="40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F36790F-E5B7-4341-87AC-9FD6E01CA5E8}" dateTime="2025-11-05T16:00:48" maxSheetId="22" userName="Васильева Мария Сергеевна" r:id="rId50" minRId="403" maxRId="41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37195ED-40CF-4F68-ADD5-9D594B85B99D}" dateTime="2025-11-05T16:07:56" maxSheetId="22" userName="Васильева Мария Сергеевна" r:id="rId51" minRId="419" maxRId="42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55061AA-9687-4EAC-95F1-114A9D06B13C}" dateTime="2025-11-05T16:23:36" maxSheetId="22" userName="Васильева Мария Сергеевна" r:id="rId52" minRId="427" maxRId="43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E1C7490-7EFD-49E6-BE3C-0E51EC7F9168}" dateTime="2025-11-05T16:26:19" maxSheetId="22" userName="Васильева Мария Сергеевна" r:id="rId53" minRId="431" maxRId="43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A0AA725-8D8F-45B1-A45A-60AEC762D999}" dateTime="2025-11-05T17:08:11" maxSheetId="22" userName="Осинцева Татьяна Николаевна" r:id="rId54" minRId="433" maxRId="4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2C19E03-9E39-450B-A2C0-A1CDFEE67851}" dateTime="2025-11-06T10:28:38" maxSheetId="22" userName="Епифанова Елена Валерьевна" r:id="rId55" minRId="441" maxRId="45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61D5086-0429-4F9D-8CD6-74C609C84377}" dateTime="2025-11-06T10:32:52" maxSheetId="22" userName="Епифанова Елена Валерьевна" r:id="rId56" minRId="464" maxRId="46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31D02BA-8906-4BF6-946A-F70842846B83}" dateTime="2025-11-06T11:32:25" maxSheetId="22" userName="Ларионов Сергей Александрович" r:id="rId5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D6096CD-16FE-4FBC-B952-29AE4A6BCBEF}" dateTime="2025-11-06T12:04:43" maxSheetId="22" userName="Ларионов Сергей Александрович" r:id="rId5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6CCAAA4-9A09-42C1-81E2-47894D7FE917}" dateTime="2025-11-06T12:08:29" maxSheetId="22" userName="Ларионов Сергей Александрович" r:id="rId5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AE00E97-0009-4E84-8C5D-B1651F126155}" dateTime="2025-11-06T12:09:22" maxSheetId="22" userName="Ларионов Сергей Александрович" r:id="rId6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C3EFC4F-3646-4062-9012-C0354B0F60F5}" dateTime="2025-11-06T12:13:12" maxSheetId="22" userName="Ларионов Сергей Александрович" r:id="rId61" minRId="484" maxRId="48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0DDC942-3C2A-4A27-9A07-05A0DB59C1C4}" dateTime="2025-11-06T12:17:07" maxSheetId="22" userName="Ларионов Сергей Александрович" r:id="rId62" minRId="48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6AE0279-1D6C-4F0E-B55A-6F7914B79AFC}" dateTime="2025-11-06T12:17:52" maxSheetId="22" userName="Ларионов Сергей Александрович" r:id="rId63" minRId="48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DD5639F-D105-4BE1-B0AD-9D8DC535B200}" dateTime="2025-11-06T12:20:50" maxSheetId="22" userName="Ларионов Сергей Александрович" r:id="rId64" minRId="489" maxRId="49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32C4035-8C01-46BD-9617-B647103A43FF}" dateTime="2025-11-06T12:23:43" maxSheetId="22" userName="Ларионов Сергей Александрович" r:id="rId65" minRId="491" maxRId="49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2C55A37-12DD-4344-8425-14CFECC6ED61}" dateTime="2025-11-06T12:27:28" maxSheetId="22" userName="Ларионов Сергей Александрович" r:id="rId66" minRId="496" maxRId="50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42A8BF1-42A2-471E-ABC0-B88852FA80AB}" dateTime="2025-11-06T12:28:49" maxSheetId="22" userName="Ларионов Сергей Александрович" r:id="rId6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C763760-C798-4B3E-BB2B-5735039C554A}" dateTime="2025-11-06T12:32:03" maxSheetId="22" userName="Ларионов Сергей Александрович" r:id="rId68" minRId="501" maxRId="50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5C4A12BD-490E-42E3-8F82-22157612C1CC}" dateTime="2025-11-06T14:14:31" maxSheetId="22" userName="Хазиева Татьяна Михайловна" r:id="rId69" minRId="505" maxRId="51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BA05A5B-5BB0-4937-B13A-A92B603AD4C4}" dateTime="2025-11-06T14:19:22" maxSheetId="22" userName="Хазиева Татьяна Михайловна" r:id="rId70" minRId="516" maxRId="51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95D48B1-B5E5-448A-8894-32ED1DDC2549}" dateTime="2025-11-06T14:20:01" maxSheetId="22" userName="Хазиева Татьяна Михайловна" r:id="rId71" minRId="52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7E3118B-8CFA-4103-BB1A-1B0FC8E1AAB6}" dateTime="2025-11-06T14:25:04" maxSheetId="22" userName="Хазиева Татьяна Михайловна" r:id="rId72" minRId="537" maxRId="5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DA0B607-1547-49CD-949A-78ADD563A200}" dateTime="2025-11-06T14:32:37" maxSheetId="22" userName="Хазиева Татьяна Михайловна" r:id="rId73" minRId="541" maxRId="54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51C5BBC-CF2B-4E94-8E20-30937767391A}" dateTime="2025-11-06T14:48:35" maxSheetId="22" userName="Ларионов Сергей Александрович" r:id="rId74" minRId="54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C501046-FF8E-4B86-8748-CD9228709B51}" dateTime="2025-11-06T14:56:49" maxSheetId="22" userName="Ларионов Сергей Александрович" r:id="rId75" minRId="54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09CFFC0-7D55-4DFF-8A0D-1596CCBEDE7D}" dateTime="2025-11-06T15:01:19" maxSheetId="22" userName="Ларионов Сергей Александрович" r:id="rId76" minRId="547" maxRId="55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8644EA7-E43E-4FCE-A333-A555EE906DB6}" dateTime="2025-11-06T15:02:22" maxSheetId="22" userName="Ларионов Сергей Александрович" r:id="rId7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51124E9-45F2-45D7-85AD-C97812A640ED}" dateTime="2025-11-06T15:04:04" maxSheetId="22" userName="Ларионов Сергей Александрович" r:id="rId78" minRId="559" maxRId="56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5C3EE4E-B1D2-4D01-86CA-FFE20DAAFEE2}" dateTime="2025-11-06T15:04:31" maxSheetId="22" userName="Ларионов Сергей Александрович" r:id="rId7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B2725FA-AAF8-48DA-BC76-D705C6973606}" dateTime="2025-11-06T15:04:51" maxSheetId="22" userName="Ларионов Сергей Александрович" r:id="rId8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D0F883D-790D-4B22-9DBA-C85DEAB817A8}" dateTime="2025-11-06T15:07:23" maxSheetId="22" userName="Ларионов Сергей Александрович" r:id="rId81" minRId="561" maxRId="56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6322D9E-F0E5-4140-B4E1-3A5EEF727233}" dateTime="2025-11-06T15:08:57" maxSheetId="22" userName="Ларионов Сергей Александрович" r:id="rId82" minRId="566" maxRId="56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145FA77-ECAF-48AF-8D3C-117DB8FA27C0}" dateTime="2025-11-06T15:12:26" maxSheetId="22" userName="Ларионов Сергей Александрович" r:id="rId83" minRId="570" maxRId="57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0208454-A594-42B5-B5B0-C6AC8E9BFF67}" dateTime="2025-11-06T15:16:21" maxSheetId="22" userName="Ларионов Сергей Александрович" r:id="rId84" minRId="58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C684D01-E718-4802-92A5-57E1B09114A7}" dateTime="2025-11-06T15:30:20" maxSheetId="22" userName="Ларионов Сергей Александрович" r:id="rId85" minRId="581" maxRId="59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C20ED9A-639F-4601-853A-1226ED9DE492}" dateTime="2025-11-06T15:33:07" maxSheetId="22" userName="Ларионов Сергей Александрович" r:id="rId86" minRId="591" maxRId="60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0BB9856-94D6-4CCF-A882-D13C80E07C40}" dateTime="2025-11-06T15:46:08" maxSheetId="22" userName="Хазиева Татьяна Михайловна" r:id="rId8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D1F7579-B469-45E9-9BFB-1994A7767F32}" dateTime="2025-11-06T15:58:17" maxSheetId="22" userName="Осинцева Татьяна Николаевна" r:id="rId88" minRId="601" maxRId="60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C6D5C7C-08A1-4557-8E45-8E1B7785BA76}" dateTime="2025-11-06T16:00:06" maxSheetId="22" userName="Степаненко Наталья Алексеевна" r:id="rId89" minRId="608" maxRId="63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AA9DB2A-6ED2-4AAC-9880-587A773D2070}" dateTime="2025-11-06T16:02:23" maxSheetId="22" userName="Осинцева Татьяна Николаевна" r:id="rId90" minRId="644" maxRId="64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D7B773E-D11C-4236-A04B-CF58EB780F68}" dateTime="2025-11-06T16:17:13" maxSheetId="22" userName="Ларионов Сергей Александрович" r:id="rId9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2022455-C2EE-4892-B8DE-06BA66BAE6D1}" dateTime="2025-11-06T16:18:01" maxSheetId="22" userName="Ларионов Сергей Александрович" r:id="rId92" minRId="663" maxRId="66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6C8FD50-E35F-4287-8310-7E28232D9A5E}" dateTime="2025-11-06T16:20:24" maxSheetId="22" userName="Ларионов Сергей Александрович" r:id="rId93" minRId="66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B019BED-F47A-46D2-A475-F22CAB909F3A}" dateTime="2025-11-06T16:22:36" maxSheetId="22" userName="Ларионов Сергей Александрович" r:id="rId9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63B1B0A-87EA-4839-BC7B-5D51133673CE}" dateTime="2025-11-06T16:25:50" maxSheetId="22" userName="Ларионов Сергей Александрович" r:id="rId9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606E9CA-5322-48A9-B170-3576E72F9C56}" dateTime="2025-11-06T16:27:10" maxSheetId="22" userName="Ларионов Сергей Александрович" r:id="rId9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AF9854B-7377-4ADE-AD46-6C1BB8B04E87}" dateTime="2025-11-06T16:28:53" maxSheetId="22" userName="Ларионов Сергей Александрович" r:id="rId97" minRId="66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7C11975-6F52-4595-AF0E-71C52160CEFE}" dateTime="2025-11-06T16:31:23" maxSheetId="22" userName="Ларионов Сергей Александрович" r:id="rId98" minRId="66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F9924D2-6F5D-47AA-83A0-D352F32CFC6E}" dateTime="2025-11-06T16:38:34" maxSheetId="22" userName="Ларионов Сергей Александрович" r:id="rId99" minRId="669" maxRId="67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400BF5E-0F0D-4F1E-BE76-8DB18CA412F9}" dateTime="2025-11-06T16:40:00" maxSheetId="22" userName="Ларионов Сергей Александрович" r:id="rId10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AEF6724-85A6-4F33-A12D-C0585E589849}" dateTime="2025-11-06T16:41:39" maxSheetId="22" userName="Ларионов Сергей Александрович" r:id="rId101" minRId="6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1D844C2-8800-4005-8121-A51842A3C7A5}" dateTime="2025-11-06T16:42:52" maxSheetId="22" userName="Ларионов Сергей Александрович" r:id="rId102" minRId="67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7A111F6-F372-4747-9F88-CC0AEF508E56}" dateTime="2025-11-06T16:43:25" maxSheetId="22" userName="Ларионов Сергей Александрович" r:id="rId10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77D7673-90DB-4D08-8982-EDF742F8E782}" dateTime="2025-11-06T16:44:39" maxSheetId="22" userName="Ларионов Сергей Александрович" r:id="rId104">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82A03F1-C7AC-4D5A-988B-4A8FF1967238}" dateTime="2025-11-06T16:48:16" maxSheetId="22" userName="Осинцева Татьяна Николаевна" r:id="rId10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AF0216B-CB3B-49B7-A6FE-E03E75554AA1}" dateTime="2025-11-06T16:50:57" maxSheetId="22" userName="Ларионов Сергей Александрович" r:id="rId10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4E2BCBE-DE0E-4C89-AB07-92066ED6D3BF}" dateTime="2025-11-06T16:54:41" maxSheetId="22" userName="Ларионов Сергей Александрович" r:id="rId10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FD10807-9B47-4180-A7B8-4EE847F49790}" dateTime="2025-11-06T17:04:21" maxSheetId="22" userName="Хазиева Татьяна Михайловна" r:id="rId108" minRId="69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233F5A1-591C-4B74-8F2B-DD70C4F742C6}" dateTime="2025-11-06T17:11:39" maxSheetId="22" userName="Хазиева Татьяна Михайловна" r:id="rId109" minRId="699" maxRId="71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10DE7D5-C5D8-4DB4-9E41-F1E573070EF3}" dateTime="2025-11-06T17:14:17" maxSheetId="22" userName="Хазиева Татьяна Михайловна" r:id="rId11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73D9E6D-28A3-4193-AAE1-2A438300E53A}" dateTime="2025-11-06T17:30:09" maxSheetId="22" userName="Ларионов Сергей Александрович" r:id="rId11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3F5ADC25-C72B-4ABB-8120-4B62EA099326}" dateTime="2025-11-06T17:37:45" maxSheetId="22" userName="Ларионов Сергей Александрович" r:id="rId112" minRId="7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A2E8D9AD-74D3-409C-A18B-8F08D59B4CEC}" dateTime="2025-11-06T17:39:14" maxSheetId="22" userName="Ларионов Сергей Александрович" r:id="rId113" minRId="74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940EE35-974F-4D69-80C1-7003FC5754D5}" dateTime="2025-11-06T17:49:14" maxSheetId="22" userName="Ларионов Сергей Александрович" r:id="rId114" minRId="758" maxRId="76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02BE5349-512F-4C11-8C6F-64C289C7B298}" dateTime="2025-11-06T17:50:59" maxSheetId="22" userName="Ларионов Сергей Александрович" r:id="rId115" minRId="77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F7D0D87-9F52-4041-8CA9-C47417BD1E17}" dateTime="2025-11-07T10:59:03" maxSheetId="22" userName="Ларионов Сергей Александрович" r:id="rId116" minRId="77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E5EDCC7-5F50-48F2-8685-10EB6BDAD283}" dateTime="2025-11-07T11:02:50" maxSheetId="22" userName="Ларионов Сергей Александрович" r:id="rId11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E949FC92-D123-4046-9709-01B88D1A8DB9}" dateTime="2025-11-07T11:11:08" maxSheetId="22" userName="Ларионов Сергей Александрович" r:id="rId11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2F35DA95-B95A-47F8-8597-B0500FE61922}" dateTime="2025-11-07T18:00:21" maxSheetId="22" userName="Подворчан Оксана" r:id="rId119" minRId="796" maxRId="80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28DCD97-2E51-45CB-B575-FF639C95239E}" dateTime="2025-11-09T15:24:43" maxSheetId="22" userName="Подворчан Оксана" r:id="rId120" minRId="814" maxRId="84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836F00B-44FE-47E2-A5CF-B76C62798DE9}" dateTime="2025-11-10T10:13:41" maxSheetId="22" userName="Игошкина Марина Юрьевна" r:id="rId121" minRId="849" maxRId="1015">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CC075B1-5080-4D2B-863F-7717C2B64935}" dateTime="2025-11-10T10:17:23" maxSheetId="22" userName="Игошкина Марина Юрьевна" r:id="rId122" minRId="1024" maxRId="103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824797D5-4153-43A7-ABD4-037362E143F0}" dateTime="2025-11-10T10:31:38" maxSheetId="22" userName="Игошкина Марина Юрьевна" r:id="rId123" minRId="1039" maxRId="104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1068C97A-0408-484F-8FC6-235051806C1C}" dateTime="2025-11-10T10:37:42" maxSheetId="22" userName="Игошкина Марина Юрьевна" r:id="rId124" minRId="1052" maxRId="105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44F10D8-6441-4BCF-9966-6C6ACDAB5D58}" dateTime="2025-11-10T11:02:10" maxSheetId="22" userName="Шамерзоева Татьяна Федоровна" r:id="rId125" minRId="1065" maxRId="106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FF9E445F-83FD-4898-AF84-090E7B77EE32}" dateTime="2025-11-10T14:50:02" maxSheetId="22" userName="Лукманова Эльвира Наильевна" r:id="rId126" minRId="1078" maxRId="108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D942B41-C934-41D7-A188-F66DEE0FB4D6}" dateTime="2025-11-10T15:03:06" maxSheetId="22" userName="Лукманова Эльвира Наильевна" r:id="rId127" minRId="1089" maxRId="109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75FB8E76-783F-44A6-AE45-F167B6E3517D}" dateTime="2025-11-10T15:24:13" maxSheetId="22" userName="Лукманова Эльвира Наильевна" r:id="rId128" minRId="1091" maxRId="1097">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6CD5A48-CFE1-4DA3-A4E1-400499C14AE3}" dateTime="2025-11-10T16:07:35" maxSheetId="22" userName="Тихонова Лариса Анатольевна" r:id="rId129" minRId="1098" maxRId="1108">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C75A9F98-B7E7-4FEC-BF29-BE658FD53D11}" dateTime="2025-11-10T16:56:45" maxSheetId="22" userName="Лукманова Эльвира Наильевна" r:id="rId130">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D1B9D35-40BC-44B1-B30F-4043E1B730CB}" dateTime="2025-11-13T10:46:23" maxSheetId="22" userName="Лукманова Эльвира Наильевна" r:id="rId13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В списке молодых семей, претендующих на получение меры государственной поддержки  по городу Когалыму, состоят 12 семей. В 2025 году в соответствии с условиями муниципальной программы получателями субсидий являлись 2 молодые семьи, которым предоставлены социальные выплаты.</t>
        </r>
      </is>
    </oc>
    <nc r="AH13" t="inlineStr">
      <is>
        <r>
          <t xml:space="preserve">УпоЖП:
</t>
        </r>
        <r>
          <rPr>
            <sz val="12"/>
            <rFont val="Times New Roman"/>
            <family val="1"/>
            <charset val="204"/>
          </rPr>
          <t xml:space="preserve">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В списке молодых семей, претендующих на получение меры государственной поддержки  по городу Когалыму, состоят 12 семей. В 2025 году в соответствии с условиями муниципальной программы получателями субсидий являлись 2 молодые семьи, которым предоставлены социальные выплаты.
По состоянию на 31.08.2025 в списке молодых семей, претендующих на получение меры государственной поддержки  по городу Когалыму, состоят 12 семей. В 2025 году в соответствии с условиями муниципальной программы получателями субсидий являлись 2 молодые семьи, которым предоставлены социальные выплаты. </t>
        </r>
      </is>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24:I27" start="0" length="2147483647">
    <dxf>
      <font>
        <color rgb="FFFF0000"/>
      </font>
    </dxf>
  </rfmt>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24:D25" start="0" length="2147483647">
    <dxf>
      <font>
        <color auto="1"/>
      </font>
    </dxf>
  </rfmt>
  <rcc rId="672" sId="11">
    <oc r="E25">
      <f>J25+L25+N25+P25+R25</f>
    </oc>
    <nc r="E25">
      <f>J25+L25+N25+P25+R25+T25+V25+X25+Z25+AB25</f>
    </nc>
  </rcc>
  <rfmt sheetId="11" sqref="E24:E25" start="0" length="2147483647">
    <dxf>
      <font>
        <color auto="1"/>
      </font>
    </dxf>
  </rfmt>
  <rfmt sheetId="11" sqref="F24:I25" start="0" length="2147483647">
    <dxf>
      <font>
        <color auto="1"/>
      </font>
    </dxf>
  </rfmt>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26:D27" start="0" length="2147483647">
    <dxf>
      <font>
        <color auto="1"/>
      </font>
    </dxf>
  </rfmt>
  <rcc rId="673" sId="11">
    <oc r="E27">
      <f>J27+L27+N27+P27+R27</f>
    </oc>
    <nc r="E27">
      <f>J27+L27+N27+P27+R27+T27+V27+X27+Z27+AB27</f>
    </nc>
  </rcc>
  <rfmt sheetId="11" sqref="E26:E27" start="0" length="2147483647">
    <dxf>
      <font>
        <color auto="1"/>
      </font>
    </dxf>
  </rfmt>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F26:I27" start="0" length="2147483647">
    <dxf>
      <font>
        <color auto="1"/>
      </font>
    </dxf>
  </rfmt>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AI8:AI27" start="0" length="2147483647">
    <dxf>
      <font>
        <color rgb="FFFF0000"/>
      </font>
    </dxf>
  </rfmt>
  <rfmt sheetId="11" sqref="AI24:AI27" start="0" length="2147483647">
    <dxf>
      <font>
        <sz val="12"/>
      </font>
    </dxf>
  </rfmt>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4AF2100-C59D-4F60-9EAB-56D9103463F7}" action="delete"/>
  <rdn rId="0" localSheetId="1" customView="1" name="Z_A4AF2100_C59D_4F60_9EAB_56D9103463F7_.wvu.Rows" hidden="1" oldHidden="1">
    <formula>'1. РО'!$28:$28,'1. РО'!$32:$32,'1. РО'!$52:$52,'1. РО'!$61:$61,'1. РО'!$73:$73,'1. РО'!$77:$77</formula>
    <oldFormula>'1. РО'!$28:$28,'1. РО'!$32:$32,'1. РО'!$52:$52,'1. РО'!$61:$61,'1. РО'!$73:$73,'1. РО'!$77:$77</oldFormula>
  </rdn>
  <rdn rId="0" localSheetId="4" customView="1" name="Z_A4AF2100_C59D_4F60_9EAB_56D9103463F7_.wvu.Rows" hidden="1" oldHidden="1">
    <formula>'4. КП'!$23:$23,'4. КП'!$27:$27,'4. КП'!$68:$68,'4. КП'!$75:$75,'4. КП'!$83:$83,'4. КП'!$87:$88,'4. КП'!$91:$91,'4. КП'!$93:$93</formula>
    <oldFormula>'4. КП'!$23:$23,'4. КП'!$27:$27,'4. КП'!$68:$68,'4. КП'!$75:$75,'4. КП'!$83:$83,'4. КП'!$87:$88,'4. КП'!$91:$91,'4. КП'!$93:$93</oldFormula>
  </rdn>
  <rdn rId="0" localSheetId="5" customView="1" name="Z_A4AF2100_C59D_4F60_9EAB_56D9103463F7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4AF2100_C59D_4F60_9EAB_56D9103463F7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4AF2100_C59D_4F60_9EAB_56D9103463F7_.wvu.Rows" hidden="1" oldHidden="1">
    <formula>'9. РЖКК'!$14:$14,'9. РЖКК'!$28:$28</formula>
    <oldFormula>'9. РЖКК'!$14:$14,'9. РЖКК'!$28:$28</oldFormula>
  </rdn>
  <rdn rId="0" localSheetId="14" customView="1" name="Z_A4AF2100_C59D_4F60_9EAB_56D9103463F7_.wvu.Rows" hidden="1" oldHidden="1">
    <formula>'14. РТС'!$14:$15,'14. РТС'!$19:$19,'14. РТС'!$30:$30,'14. РТС'!$33:$33,'14. РТС'!$36:$36,'14. РТС'!$43:$43</formula>
    <oldFormula>'14. РТС'!$14:$15,'14. РТС'!$19:$19,'14. РТС'!$30:$30,'14. РТС'!$33:$33,'14. РТС'!$36:$36,'14. РТС'!$43:$43</oldFormula>
  </rdn>
  <rdn rId="0" localSheetId="17" customView="1" name="Z_A4AF2100_C59D_4F60_9EAB_56D9103463F7_.wvu.PrintTitles" hidden="1" oldHidden="1">
    <formula>'17. УМИ'!$4:$7</formula>
    <oldFormula>'17. УМИ'!$4:$7</oldFormula>
  </rdn>
  <rdn rId="0" localSheetId="20" customView="1" name="Z_A4AF2100_C59D_4F60_9EAB_56D9103463F7_.wvu.Rows" hidden="1" oldHidden="1">
    <formula>'20. МСП'!$19:$19</formula>
    <oldFormula>'20. МСП'!$19:$19</oldFormula>
  </rdn>
  <rcv guid="{A4AF2100-C59D-4F60-9EAB-56D9103463F7}"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E6" start="0" length="2147483647">
    <dxf>
      <font>
        <color rgb="FFFF0000"/>
      </font>
    </dxf>
  </rfmt>
  <rfmt sheetId="11" sqref="G6" start="0" length="2147483647">
    <dxf>
      <font>
        <color rgb="FFFF0000"/>
      </font>
    </dxf>
  </rfmt>
  <rfmt sheetId="11" sqref="AI8" start="0" length="2147483647">
    <dxf>
      <font>
        <color auto="1"/>
      </font>
    </dxf>
  </rfmt>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AI9" start="0" length="2147483647">
    <dxf>
      <font>
        <color auto="1"/>
      </font>
    </dxf>
  </rfmt>
  <rfmt sheetId="11" sqref="AI11:AI12" start="0" length="2147483647">
    <dxf>
      <font>
        <color auto="1"/>
      </font>
    </dxf>
  </rfmt>
  <rfmt sheetId="11" sqref="AI13:AI14" start="0" length="2147483647">
    <dxf>
      <font>
        <color auto="1"/>
      </font>
    </dxf>
  </rfmt>
  <rfmt sheetId="11" sqref="AI15:AI16" start="0" length="2147483647">
    <dxf>
      <font>
        <color auto="1"/>
      </font>
    </dxf>
  </rfmt>
  <rfmt sheetId="11" sqref="AI17:AI18" start="0" length="2147483647">
    <dxf>
      <font>
        <color auto="1"/>
      </font>
    </dxf>
  </rfmt>
  <rfmt sheetId="11" sqref="AI19:AI20" start="0" length="2147483647">
    <dxf>
      <font>
        <color auto="1"/>
      </font>
    </dxf>
  </rfmt>
  <rfmt sheetId="11" sqref="AI21:AI22" start="0" length="2147483647">
    <dxf>
      <font>
        <color auto="1"/>
      </font>
    </dxf>
  </rfmt>
  <rfmt sheetId="11" sqref="AI24:AI25" start="0" length="2147483647">
    <dxf>
      <font>
        <color auto="1"/>
      </font>
    </dxf>
  </rfmt>
  <rfmt sheetId="11" sqref="AI26:AI27" start="0" length="2147483647">
    <dxf>
      <font>
        <color auto="1"/>
      </font>
    </dxf>
  </rfmt>
  <rfmt sheetId="11" sqref="E6" start="0" length="2147483647">
    <dxf>
      <font>
        <color auto="1"/>
      </font>
    </dxf>
  </rfmt>
  <rfmt sheetId="11" sqref="G6" start="0" length="2147483647">
    <dxf>
      <font>
        <color auto="1"/>
      </font>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0" sId="10">
    <oc r="AH25" t="inlineStr">
      <is>
        <t xml:space="preserve">Приобретение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t>
      </is>
    </oc>
    <nc r="AH25" t="inlineStr">
      <is>
        <t xml:space="preserve">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Заключены договоры на поставку тематических костюмов с ООО "Мастерская праздника" № 39 от 14.05.2025 - 4 костюма на сумму 84100 руб., , №40 от 15.05.2025  - 3 костюма на сумму 80900,0 руб., костюмы поступили, произведена оплата.  Мероприятие "Азбука дорог" проведено 20 июня 2025г. в школе № 6.                                                                                                                                                                                                     </t>
      </is>
    </nc>
  </rcc>
  <rcv guid="{EA46B61D-849C-4795-A4FF-F8F1740022EB}" action="delete"/>
  <rdn rId="0" localSheetId="1" customView="1" name="Z_EA46B61D_849C_4795_A4FF_F8F1740022EB_.wvu.Rows" hidden="1" oldHidden="1">
    <formula>'1. РО'!$28:$28,'1. РО'!$32:$32,'1. РО'!$52:$52,'1. РО'!$61:$61,'1. РО'!$73:$73,'1. РО'!$77:$77</formula>
    <oldFormula>'1. РО'!$28:$28,'1. РО'!$32:$32,'1. РО'!$52:$52,'1. РО'!$61:$61,'1. РО'!$73:$73,'1. РО'!$77:$77</oldFormula>
  </rdn>
  <rdn rId="0" localSheetId="4" customView="1" name="Z_EA46B61D_849C_4795_A4FF_F8F1740022EB_.wvu.Rows" hidden="1" oldHidden="1">
    <formula>'4. КП'!$23:$23,'4. КП'!$27:$27,'4. КП'!$68:$68,'4. КП'!$75:$75,'4. КП'!$83:$83,'4. КП'!$87:$88,'4. КП'!$91:$91,'4. КП'!$93:$93</formula>
    <oldFormula>'4. КП'!$23:$23,'4. КП'!$27:$27,'4. КП'!$68:$68,'4. КП'!$75:$75,'4. КП'!$83:$83,'4. КП'!$87:$88,'4. КП'!$91:$91,'4. КП'!$93:$93</oldFormula>
  </rdn>
  <rdn rId="0" localSheetId="5" customView="1" name="Z_EA46B61D_849C_4795_A4FF_F8F1740022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EA46B61D_849C_4795_A4FF_F8F1740022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EA46B61D_849C_4795_A4FF_F8F1740022EB_.wvu.Rows" hidden="1" oldHidden="1">
    <formula>'9. РЖКК'!$14:$14,'9. РЖКК'!$28:$28</formula>
    <oldFormula>'9. РЖКК'!$14:$14,'9. РЖКК'!$28:$28</oldFormula>
  </rdn>
  <rdn rId="0" localSheetId="14" customView="1" name="Z_EA46B61D_849C_4795_A4FF_F8F1740022EB_.wvu.Rows" hidden="1" oldHidden="1">
    <formula>'14. РТС'!$14:$15,'14. РТС'!$19:$19,'14. РТС'!$30:$30,'14. РТС'!$33:$33,'14. РТС'!$36:$36,'14. РТС'!$43:$43</formula>
    <oldFormula>'14. РТС'!$14:$15,'14. РТС'!$19:$19,'14. РТС'!$30:$30,'14. РТС'!$33:$33,'14. РТС'!$36:$36,'14. РТС'!$43:$43</oldFormula>
  </rdn>
  <rdn rId="0" localSheetId="17" customView="1" name="Z_EA46B61D_849C_4795_A4FF_F8F1740022EB_.wvu.PrintTitles" hidden="1" oldHidden="1">
    <formula>'17. УМИ'!$4:$7</formula>
    <oldFormula>'17. УМИ'!$4:$7</oldFormula>
  </rdn>
  <rdn rId="0" localSheetId="20" customView="1" name="Z_EA46B61D_849C_4795_A4FF_F8F1740022EB_.wvu.Rows" hidden="1" oldHidden="1">
    <formula>'20. МСП'!$19:$19</formula>
    <oldFormula>'20. МСП'!$19:$19</oldFormula>
  </rdn>
  <rcv guid="{EA46B61D-849C-4795-A4FF-F8F1740022EB}" action="add"/>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9" sId="10">
    <oc r="E14">
      <f>J14+L14+N14+P14+R14+T14+V14+X14</f>
    </oc>
    <nc r="E14">
      <f>J14+L14+N14+P14+R14+T14+V14+X14+Z14+AB14+AD14</f>
    </nc>
  </rcc>
  <rcc rId="700" sId="10">
    <oc r="E15">
      <f>J15+L15+N15+P15+R15+T15+V15+X15</f>
    </oc>
    <nc r="E15">
      <f>J15+L15+N15+P15+R15+T15+V15+X15+Z15+AB15+AD15</f>
    </nc>
  </rcc>
  <rcc rId="701" sId="10">
    <oc r="E17">
      <f>J17+L17+N17+P17+R17+T17+V17+X17</f>
    </oc>
    <nc r="E17">
      <f>J17+L17+N17+P17+R17+T17+V17+X17+Z17+AB17</f>
    </nc>
  </rcc>
  <rcc rId="702" sId="10">
    <oc r="E19">
      <f>J19+L19+N19+P19+R19</f>
    </oc>
    <nc r="E19">
      <f>J19+L19+N19+P19+R19+T19+V19+X19+Z19+AB19</f>
    </nc>
  </rcc>
  <rcc rId="703" sId="10">
    <oc r="E20">
      <f>J20+L20+N20+P20+R20</f>
    </oc>
    <nc r="E20">
      <f>J20+L20+N20+P20+R20+T20+V20+X20+Z20+AB20</f>
    </nc>
  </rcc>
  <rcc rId="704" sId="10">
    <oc r="E18">
      <f>E19+E20</f>
    </oc>
    <nc r="E18">
      <f>E19+E20</f>
    </nc>
  </rcc>
  <rcc rId="705" sId="10">
    <oc r="E22">
      <f>J22+L22+N22+P22+R22</f>
    </oc>
    <nc r="E22">
      <f>J22+L22+N22+P22+R22+T22+V22+X22+Z22+AB22</f>
    </nc>
  </rcc>
  <rcc rId="706" sId="10">
    <oc r="E24">
      <f>J24+L24+N24+P24+R24+T24+V24+X24</f>
    </oc>
    <nc r="E24">
      <f>J24+L24+N24+P24+R24+T24+V24+X24+Z24+AB24</f>
    </nc>
  </rcc>
  <rcc rId="707" sId="10">
    <oc r="E26">
      <f>J26+L26+N26+P26+R26+T26+V26+X26</f>
    </oc>
    <nc r="E26">
      <f>J26+L26+N26+P26+R26+T26+V26+X26+Z26+AB26</f>
    </nc>
  </rcc>
  <rcc rId="708" sId="10">
    <oc r="E29">
      <f>J29+L29+N29+P29+R29+T29+V29+X29+Z29</f>
    </oc>
    <nc r="E29">
      <f>J29+L29+N29+P29+R29+T29+V29+X29+Z29+AB29+AD29</f>
    </nc>
  </rcc>
  <rcc rId="709" sId="10">
    <oc r="E31">
      <f>J31+L31+N31+P31+R31+T31+V31+X31</f>
    </oc>
    <nc r="E31">
      <f>J31+L31+N31+P31+R31+T31+V31+X31+Z31+AB31</f>
    </nc>
  </rcc>
  <rcc rId="710" sId="10">
    <oc r="E33">
      <f>J33+L33+N33+P33+R33+T33+V33+X33</f>
    </oc>
    <nc r="E33">
      <f>J33+L33+N33+P33+R33+T33+V33+X33+Z33+AB33</f>
    </nc>
  </rcc>
  <rcc rId="711" sId="10">
    <oc r="E35">
      <f>J35+L35+N35+P35+R35+T35+V35+X35</f>
    </oc>
    <nc r="E35">
      <f>J35+L35+N35+P35+R35+T35+V35+X35+Z35+AB35</f>
    </nc>
  </rcc>
  <rcc rId="712" sId="10">
    <oc r="E38">
      <f>J38+L38+N38+P38+R38+T38+V38+X38</f>
    </oc>
    <nc r="E38">
      <f>J38+L38+N38+P38+R38+T38+V38+X38+Z38+AB38</f>
    </nc>
  </rcc>
  <rcc rId="713" sId="10">
    <oc r="E11">
      <f>J11+L11+N11+P11+R11+T11+V11+X11</f>
    </oc>
    <nc r="E11">
      <f>J11+L11+N11+P11+R11+T11+V11+X11+Z11+AB11</f>
    </nc>
  </rcc>
  <rcc rId="714" sId="10">
    <oc r="E10">
      <f>J10+L10+N10+P10+R10+T10+V10+X10</f>
    </oc>
    <nc r="E10">
      <f>J10+L10+N10+P10+R10+T10+V10+X10+Z10+AB10</f>
    </nc>
  </rcc>
  <rcc rId="715" sId="10">
    <oc r="E9">
      <f>J9+P9+N9+L9+R9+T9+V9+X9+Z9</f>
    </oc>
    <nc r="E9">
      <f>J9+P9+N9+L9+R9+T9+V9+X9+Z9+AB9</f>
    </nc>
  </rcc>
  <rcv guid="{EA46B61D-849C-4795-A4FF-F8F1740022EB}" action="delete"/>
  <rdn rId="0" localSheetId="1" customView="1" name="Z_EA46B61D_849C_4795_A4FF_F8F1740022EB_.wvu.Rows" hidden="1" oldHidden="1">
    <formula>'1. РО'!$28:$28,'1. РО'!$32:$32,'1. РО'!$52:$52,'1. РО'!$61:$61,'1. РО'!$73:$73,'1. РО'!$77:$77</formula>
    <oldFormula>'1. РО'!$28:$28,'1. РО'!$32:$32,'1. РО'!$52:$52,'1. РО'!$61:$61,'1. РО'!$73:$73,'1. РО'!$77:$77</oldFormula>
  </rdn>
  <rdn rId="0" localSheetId="4" customView="1" name="Z_EA46B61D_849C_4795_A4FF_F8F1740022EB_.wvu.Rows" hidden="1" oldHidden="1">
    <formula>'4. КП'!$23:$23,'4. КП'!$27:$27,'4. КП'!$68:$68,'4. КП'!$75:$75,'4. КП'!$83:$83,'4. КП'!$87:$88,'4. КП'!$91:$91,'4. КП'!$93:$93</formula>
    <oldFormula>'4. КП'!$23:$23,'4. КП'!$27:$27,'4. КП'!$68:$68,'4. КП'!$75:$75,'4. КП'!$83:$83,'4. КП'!$87:$88,'4. КП'!$91:$91,'4. КП'!$93:$93</oldFormula>
  </rdn>
  <rdn rId="0" localSheetId="5" customView="1" name="Z_EA46B61D_849C_4795_A4FF_F8F1740022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EA46B61D_849C_4795_A4FF_F8F1740022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EA46B61D_849C_4795_A4FF_F8F1740022EB_.wvu.Rows" hidden="1" oldHidden="1">
    <formula>'9. РЖКК'!$14:$14,'9. РЖКК'!$28:$28</formula>
    <oldFormula>'9. РЖКК'!$14:$14,'9. РЖКК'!$28:$28</oldFormula>
  </rdn>
  <rdn rId="0" localSheetId="14" customView="1" name="Z_EA46B61D_849C_4795_A4FF_F8F1740022EB_.wvu.Rows" hidden="1" oldHidden="1">
    <formula>'14. РТС'!$14:$15,'14. РТС'!$19:$19,'14. РТС'!$30:$30,'14. РТС'!$33:$33,'14. РТС'!$36:$36,'14. РТС'!$43:$43</formula>
    <oldFormula>'14. РТС'!$14:$15,'14. РТС'!$19:$19,'14. РТС'!$30:$30,'14. РТС'!$33:$33,'14. РТС'!$36:$36,'14. РТС'!$43:$43</oldFormula>
  </rdn>
  <rdn rId="0" localSheetId="17" customView="1" name="Z_EA46B61D_849C_4795_A4FF_F8F1740022EB_.wvu.PrintTitles" hidden="1" oldHidden="1">
    <formula>'17. УМИ'!$4:$7</formula>
    <oldFormula>'17. УМИ'!$4:$7</oldFormula>
  </rdn>
  <rdn rId="0" localSheetId="20" customView="1" name="Z_EA46B61D_849C_4795_A4FF_F8F1740022EB_.wvu.Rows" hidden="1" oldHidden="1">
    <formula>'20. МСП'!$19:$19</formula>
    <oldFormula>'20. МСП'!$19:$19</oldFormula>
  </rdn>
  <rcv guid="{EA46B61D-849C-4795-A4FF-F8F1740022EB}"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30:B32" start="0" length="2147483647">
    <dxf>
      <font>
        <color auto="1"/>
      </font>
    </dxf>
  </rfmt>
  <rcc rId="60" sId="8" numFmtId="4">
    <oc r="Y31">
      <v>0</v>
    </oc>
    <nc r="Y31">
      <v>2317.4699999999998</v>
    </nc>
  </rcc>
  <rcc rId="61" sId="8" numFmtId="4">
    <oc r="Y32">
      <v>0</v>
    </oc>
    <nc r="Y32">
      <v>229.2</v>
    </nc>
  </rcc>
  <rcc rId="62" sId="8">
    <oc r="AH30" t="inlineStr">
      <is>
        <r>
          <t xml:space="preserve">УпоЖП:
</t>
        </r>
        <r>
          <rPr>
            <sz val="12"/>
            <rFont val="Times New Roman"/>
            <family val="1"/>
            <charset val="204"/>
          </rPr>
          <t xml:space="preserve">04.06.2025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дополнительное соглашение о предоставлении субсидии на 2025 год. </t>
        </r>
      </is>
    </oc>
    <nc r="AH30" t="inlineStr">
      <is>
        <r>
          <t xml:space="preserve">УпоЖП:
</t>
        </r>
        <r>
          <rPr>
            <sz val="12"/>
            <rFont val="Times New Roman"/>
            <family val="1"/>
            <charset val="204"/>
          </rPr>
          <t>04.06.2025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дополнительное соглашение о предоставлении субсидии на 2025 год.  По состоянию на 31.08.2025 в числе претендентов на получение субсидии числятся 3 участников СВО, которым  выданы гарантийные письма. 7 участникам СВО предоставлены субсидии по итогам приобретения жилых помещений в собственность, 1 - отказано в предостиавлении субсидии по причине приобретения жилья, не соотвествующего условиям мероприятия. Отклонение факта от плановых значений вызвано более длительным процессом перечисления окружных средств.</t>
        </r>
      </is>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46B61D-849C-4795-A4FF-F8F1740022EB}" action="delete"/>
  <rdn rId="0" localSheetId="1" customView="1" name="Z_EA46B61D_849C_4795_A4FF_F8F1740022EB_.wvu.Rows" hidden="1" oldHidden="1">
    <formula>'1. РО'!$28:$28,'1. РО'!$32:$32,'1. РО'!$52:$52,'1. РО'!$61:$61,'1. РО'!$73:$73,'1. РО'!$77:$77</formula>
    <oldFormula>'1. РО'!$28:$28,'1. РО'!$32:$32,'1. РО'!$52:$52,'1. РО'!$61:$61,'1. РО'!$73:$73,'1. РО'!$77:$77</oldFormula>
  </rdn>
  <rdn rId="0" localSheetId="4" customView="1" name="Z_EA46B61D_849C_4795_A4FF_F8F1740022EB_.wvu.Rows" hidden="1" oldHidden="1">
    <formula>'4. КП'!$23:$23,'4. КП'!$27:$27,'4. КП'!$68:$68,'4. КП'!$75:$75,'4. КП'!$83:$83,'4. КП'!$87:$88,'4. КП'!$91:$91,'4. КП'!$93:$93</formula>
    <oldFormula>'4. КП'!$23:$23,'4. КП'!$27:$27,'4. КП'!$68:$68,'4. КП'!$75:$75,'4. КП'!$83:$83,'4. КП'!$87:$88,'4. КП'!$91:$91,'4. КП'!$93:$93</oldFormula>
  </rdn>
  <rdn rId="0" localSheetId="5" customView="1" name="Z_EA46B61D_849C_4795_A4FF_F8F1740022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EA46B61D_849C_4795_A4FF_F8F1740022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EA46B61D_849C_4795_A4FF_F8F1740022EB_.wvu.Rows" hidden="1" oldHidden="1">
    <formula>'9. РЖКК'!$14:$14,'9. РЖКК'!$28:$28</formula>
    <oldFormula>'9. РЖКК'!$14:$14,'9. РЖКК'!$28:$28</oldFormula>
  </rdn>
  <rdn rId="0" localSheetId="14" customView="1" name="Z_EA46B61D_849C_4795_A4FF_F8F1740022EB_.wvu.Rows" hidden="1" oldHidden="1">
    <formula>'14. РТС'!$14:$15,'14. РТС'!$19:$19,'14. РТС'!$30:$30,'14. РТС'!$33:$33,'14. РТС'!$36:$36,'14. РТС'!$43:$43</formula>
    <oldFormula>'14. РТС'!$14:$15,'14. РТС'!$19:$19,'14. РТС'!$30:$30,'14. РТС'!$33:$33,'14. РТС'!$36:$36,'14. РТС'!$43:$43</oldFormula>
  </rdn>
  <rdn rId="0" localSheetId="17" customView="1" name="Z_EA46B61D_849C_4795_A4FF_F8F1740022EB_.wvu.PrintTitles" hidden="1" oldHidden="1">
    <formula>'17. УМИ'!$4:$7</formula>
    <oldFormula>'17. УМИ'!$4:$7</oldFormula>
  </rdn>
  <rdn rId="0" localSheetId="20" customView="1" name="Z_EA46B61D_849C_4795_A4FF_F8F1740022EB_.wvu.Rows" hidden="1" oldHidden="1">
    <formula>'20. МСП'!$19:$19</formula>
    <oldFormula>'20. МСП'!$19:$19</oldFormula>
  </rdn>
  <rcv guid="{EA46B61D-849C-4795-A4FF-F8F1740022EB}"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0" sId="11">
    <nc r="AH24" t="inlineStr">
      <is>
        <t>Экономия по заработной плате и начисление на оплату труда (наличие вакансии, листов временной нетрудоспособности)</t>
      </is>
    </nc>
  </rcc>
  <rfmt sheetId="11" sqref="AH24" start="0" length="2147483647">
    <dxf>
      <font>
        <b val="0"/>
      </font>
    </dxf>
  </rfmt>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9" sId="11">
    <nc r="AH19" t="inlineStr">
      <is>
        <t>Экономия образовалась по результатам конкурсных процедур</t>
      </is>
    </nc>
  </rcc>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8" sId="11" xfDxf="1" s="1" dxf="1">
    <nc r="AH13" t="inlineStr">
      <is>
        <t>Экономия образовалась по результатам конкурсных процедур</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759" sId="11">
    <nc r="AH15" t="inlineStr">
      <is>
        <t>Экономия образовалась по результатам конкурсных процедур</t>
      </is>
    </nc>
  </rcc>
  <rcc rId="760" sId="11" xfDxf="1" s="1" dxf="1">
    <nc r="AH21" t="inlineStr">
      <is>
        <t>Экономия образовалась по результатам конкурсных процедур</t>
      </is>
    </nc>
    <ndxf>
      <font>
        <b val="0"/>
        <i val="0"/>
        <strike val="0"/>
        <condense val="0"/>
        <extend val="0"/>
        <outline val="0"/>
        <shadow val="0"/>
        <u val="none"/>
        <vertAlign val="baseline"/>
        <sz val="12"/>
        <color rgb="FFFF0000"/>
        <name val="Times New Roman"/>
        <scheme val="none"/>
      </font>
      <numFmt numFmtId="0" formatCode="General"/>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1" sqref="AH21" start="0" length="2147483647">
    <dxf>
      <font>
        <color auto="1"/>
      </font>
    </dxf>
  </rfmt>
  <rcc rId="761" sId="11">
    <oc r="AH19" t="inlineStr">
      <is>
        <t>Экономия образовалась по результатам конкурсных процедур</t>
      </is>
    </oc>
    <nc r="AH19" t="inlineStr">
      <is>
        <t>Экономия образовалась после изучения рынка (заключен контракт с единственным поставщиком)</t>
      </is>
    </nc>
  </rcc>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0" sId="11">
    <oc r="AH19" t="inlineStr">
      <is>
        <t>Экономия образовалась после изучения рынка (заключен контракт с единственным поставщиком)</t>
      </is>
    </oc>
    <nc r="AH19"/>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AH26" start="0" length="2147483647">
    <dxf>
      <font>
        <b val="0"/>
      </font>
    </dxf>
  </rfmt>
  <rfmt sheetId="11" xfDxf="1" s="1" sqref="AH2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771" sId="11">
    <nc r="AH26" t="inlineStr">
      <is>
        <t>Экономия образовалась по результатам конкурсных процедур, по заработной плате и начисление на оплату труда (наличие вакансии, листов временной нетрудоспособности), по санаторно-курортному лечению, командировочных рассходов, при оплате коммунальных услуг (показания приборов учета)</t>
      </is>
    </nc>
  </rcc>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6" sId="16" numFmtId="4">
    <nc r="AC26">
      <v>144.67500000000001</v>
    </nc>
  </rcc>
  <rcc rId="797" sId="16">
    <oc r="F27">
      <f>K27+M27+O27+Q27+S27+U27+W27+Y27+AA27</f>
    </oc>
    <nc r="F27">
      <f>K27+M27+O27+Q27+S27+U27+W27+Y27+AA27+AC27+AE27+AG27</f>
    </nc>
  </rcc>
  <rcc rId="798" sId="16">
    <oc r="F26">
      <f>K26+M26+O26+Q26+S26+U26+W26+Y26+AA26</f>
    </oc>
    <nc r="F26">
      <f>K26+M26+O26+Q26+S26+U26+W26+Y26+AA26+AC26+AE26+AG26</f>
    </nc>
  </rcc>
  <rcc rId="799" sId="16" numFmtId="4">
    <oc r="AC37">
      <v>0</v>
    </oc>
    <nc r="AC37">
      <v>104.6</v>
    </nc>
  </rcc>
  <rcc rId="800" sId="16" numFmtId="4">
    <oc r="AC41">
      <v>0</v>
    </oc>
    <nc r="AC41">
      <v>49.55</v>
    </nc>
  </rcc>
  <rcc rId="801" sId="16">
    <oc r="E37">
      <f>J37+L37+N37+P37+R37+T37+V37+X37+Z37</f>
    </oc>
    <nc r="E37">
      <f>J37+L37+N37+P37+R37+T37+V37+X37+Z37+AB37</f>
    </nc>
  </rcc>
  <rcc rId="802" sId="16">
    <oc r="F36">
      <f>F37</f>
    </oc>
    <nc r="F36">
      <f>F37</f>
    </nc>
  </rcc>
  <rcc rId="803" sId="16" numFmtId="4">
    <oc r="AC45">
      <v>0</v>
    </oc>
    <nc r="AC45">
      <v>3970.3609999999999</v>
    </nc>
  </rcc>
  <rcc rId="804" sId="16">
    <oc r="F45">
      <f>K45+M45+O45+Q45+S45+U45+W45+Y45+AA45</f>
    </oc>
    <nc r="F45">
      <f>K45+M45+O45+Q45+S45+U45+W45+Y45+AA45+AC45+AE45+AG45</f>
    </nc>
  </rcc>
  <rcc rId="805" sId="16">
    <oc r="E45">
      <f>J45+L45+N45+P45+R45+T45+V45+X45+Z45</f>
    </oc>
    <nc r="E45">
      <f>J45+L45+N45+P45+R45+T45+V45+X45+Z45+AB45</f>
    </nc>
  </rcc>
  <rcv guid="{60A1F930-4BEC-460A-8E14-01E47F6DD055}" action="delete"/>
  <rdn rId="0" localSheetId="1" customView="1" name="Z_60A1F930_4BEC_460A_8E14_01E47F6DD055_.wvu.Rows" hidden="1" oldHidden="1">
    <formula>'1. РО'!$28:$28,'1. РО'!$32:$32,'1. РО'!$52:$52,'1. РО'!$61:$61,'1. РО'!$73:$73,'1. РО'!$77:$77</formula>
    <oldFormula>'1. РО'!$28:$28,'1. РО'!$32:$32,'1. РО'!$52:$52,'1. РО'!$61:$61,'1. РО'!$73:$73,'1. РО'!$77:$77</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17" customView="1" name="Z_60A1F930_4BEC_460A_8E14_01E47F6DD055_.wvu.PrintTitles" hidden="1" oldHidden="1">
    <formula>'17. УМИ'!$4:$7</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21:B23" start="0" length="2147483647">
    <dxf>
      <font>
        <color auto="1"/>
      </font>
    </dxf>
  </rfmt>
  <rfmt sheetId="8" sqref="B7" start="0" length="2147483647">
    <dxf>
      <font>
        <color auto="1"/>
      </font>
    </dxf>
  </rfmt>
  <rfmt sheetId="8" sqref="B38:B39" start="0" length="2147483647">
    <dxf>
      <font>
        <color auto="1"/>
      </font>
    </dxf>
  </rfmt>
  <rfmt sheetId="8" sqref="B40:B41" start="0" length="2147483647">
    <dxf>
      <font>
        <color auto="1"/>
      </font>
    </dxf>
  </rfmt>
  <rfmt sheetId="8" sqref="B45:B47" start="0" length="2147483647">
    <dxf>
      <font>
        <color auto="1"/>
      </font>
    </dxf>
  </rfmt>
  <rfmt sheetId="8" sqref="B42:B44" start="0" length="2147483647">
    <dxf>
      <font>
        <color auto="1"/>
      </font>
    </dxf>
  </rfmt>
  <rcc rId="63" sId="8" numFmtId="4">
    <oc r="Y54">
      <v>0</v>
    </oc>
    <nc r="Y54">
      <v>1180.17</v>
    </nc>
  </rcc>
  <rfmt sheetId="8" sqref="B53:B54" start="0" length="2147483647">
    <dxf>
      <font>
        <color auto="1"/>
      </font>
    </dxf>
  </rfmt>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I45:AF45">
    <dxf>
      <fill>
        <patternFill>
          <bgColor rgb="FFFFC000"/>
        </patternFill>
      </fill>
    </dxf>
  </rfmt>
  <rfmt sheetId="16" sqref="I45:AF45">
    <dxf>
      <fill>
        <patternFill patternType="none">
          <bgColor auto="1"/>
        </patternFill>
      </fill>
    </dxf>
  </rfmt>
  <rcc rId="814" sId="16">
    <oc r="E59">
      <f>J59+L59+N59+P59+R59+T59+V59+X59+Z59</f>
    </oc>
    <nc r="E59">
      <f>J59+L59+N59+P59+R59+T59+V59+X59+Z59+AB59</f>
    </nc>
  </rcc>
  <rcc rId="815" sId="16">
    <oc r="F59">
      <f>G59</f>
    </oc>
    <nc r="F59">
      <f>K59+M59+O59+Q59+S59+U59+W59+Y59+AA59+AC59</f>
    </nc>
  </rcc>
  <rcc rId="816" sId="16" numFmtId="4">
    <oc r="AC59">
      <v>0</v>
    </oc>
    <nc r="AC59">
      <v>257.16000000000003</v>
    </nc>
  </rcc>
  <rcc rId="817" sId="16">
    <oc r="AH58" t="inlineStr">
      <is>
        <t>Экономия в сумме 300,71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t="inlineStr">
      <is>
        <t>Экономия в сумме 288,61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 г., наличие вакантной ставки).</t>
      </is>
    </nc>
  </rcc>
  <rcc rId="818" sId="16">
    <oc r="E57">
      <f>J57+L57+N57+P57+R57+T57+V57+X57+Z57</f>
    </oc>
    <nc r="E57">
      <f>J57+L57+N57+P57+R57+T57+V57+X57+Z57+AB57</f>
    </nc>
  </rcc>
  <rcc rId="819" sId="16">
    <oc r="F57">
      <f>G57</f>
    </oc>
    <nc r="F57">
      <f>K57+M57+O57+Q57+S57+U57+W57+Y57+AA57+AC57</f>
    </nc>
  </rcc>
  <rcc rId="820" sId="16" numFmtId="4">
    <oc r="AC57">
      <v>0</v>
    </oc>
    <nc r="AC57">
      <v>540.21900000000005</v>
    </nc>
  </rcc>
  <rcc rId="821" sId="16">
    <oc r="AH56" t="inlineStr">
      <is>
        <t xml:space="preserve">Экономия сложилась в сумме  657,29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t="inlineStr">
      <is>
        <t xml:space="preserve">Экономия сложилась в сумме  480,49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nc>
  </rcc>
  <rcc rId="822" sId="16">
    <oc r="E61">
      <f>J61+L61+N61+P61+R61+T61+V61+X61+Z61</f>
    </oc>
    <nc r="E61">
      <f>J61+L61+N61+P61+R61+T61+V61+X61+Z61+AB61</f>
    </nc>
  </rcc>
  <rcc rId="823" sId="16">
    <oc r="F61">
      <f>G61</f>
    </oc>
    <nc r="F61">
      <f>K61+M61+O61+Q61+S61+U61+W61+Y61+AA61+AC61</f>
    </nc>
  </rcc>
  <rcc rId="824" sId="16" numFmtId="4">
    <oc r="AC61">
      <v>0</v>
    </oc>
    <nc r="AC61">
      <v>1450.9259999999999</v>
    </nc>
  </rcc>
  <rcc rId="825" sId="16">
    <oc r="AH60" t="inlineStr">
      <is>
        <t>Экономия в сумме 1261,18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t="inlineStr">
      <is>
        <t>Экономия в сумме 1178,50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nc>
  </rcc>
  <rcc rId="826" sId="16">
    <oc r="E9">
      <f>J9+L9+N9+P9+R9+T9+V9+X9+Z9</f>
    </oc>
    <nc r="E9">
      <f>J9+L9+N9+P9+R9+T9+V9+X9+Z9+AB9</f>
    </nc>
  </rcc>
  <rcc rId="827" sId="16">
    <oc r="F9">
      <f>G9</f>
    </oc>
    <nc r="F9">
      <f>G9</f>
    </nc>
  </rcc>
  <rcc rId="828" sId="16">
    <oc r="E22">
      <f>J22+L22+N22+P22+R22+T22+V22+X22+Z22</f>
    </oc>
    <nc r="E22">
      <f>J22+L22+N22+P22+R22+T22+V22+X22+Z22+AB22</f>
    </nc>
  </rcc>
  <rcc rId="829" sId="16">
    <oc r="E26">
      <f>J26+L26+N26+P26+R26+T26+V26+X26+Z26</f>
    </oc>
    <nc r="E26">
      <f>J26+L26+N26+P26+R26+T26+V26+X26+Z26+AB26</f>
    </nc>
  </rcc>
  <rcc rId="830" sId="16">
    <oc r="E27">
      <f>J27+L27+N27+P27+R27+T27+V27+X27+Z27</f>
    </oc>
    <nc r="E27">
      <f>J27+L27+N27+P27+R27+T27+V27+X27+Z27+AB27</f>
    </nc>
  </rcc>
  <rcc rId="831" sId="16">
    <oc r="G27">
      <f>K27+M27+O27+Q27+S27+U27+W27+Y27+AA27</f>
    </oc>
    <nc r="G27">
      <f>K27+M27+O27+Q27+S27+U27+W27+Y27+AA27+AC27</f>
    </nc>
  </rcc>
  <rcc rId="832" sId="16">
    <oc r="G26">
      <f>K26+M26+O26+Q26+S26+U26+W26+Y26+AA26</f>
    </oc>
    <nc r="G26">
      <f>K26+M26+O26+Q26+S26+U26+W26+Y26+AA26+AA26</f>
    </nc>
  </rcc>
  <rfmt sheetId="16" sqref="AC27">
    <dxf>
      <fill>
        <patternFill>
          <bgColor rgb="FFFF0000"/>
        </patternFill>
      </fill>
    </dxf>
  </rfmt>
  <rcc rId="833" sId="16">
    <oc r="E33">
      <f>J33+L33+N33+P33+R33+T33+V33+X33+Z33</f>
    </oc>
    <nc r="E33">
      <f>J33+L33+N33+P33+R33+T33+V33+X33+Z33+AB33</f>
    </nc>
  </rcc>
  <rcc rId="834" sId="16">
    <oc r="E35">
      <f>J35+L35+N35+P35+R35+T35+V35+X35+Z35</f>
    </oc>
    <nc r="E35">
      <f>J35+L35+N35+P35+R35+T35+V35+X35+Z35+AB35</f>
    </nc>
  </rcc>
  <rcc rId="835" sId="16">
    <nc r="AH35" t="inlineStr">
      <is>
        <t xml:space="preserve">Расхождение плановых от фактических показателей сочставляет 600,00 тыс.руб </t>
      </is>
    </nc>
  </rcc>
  <rfmt sheetId="16" sqref="AH35" start="0" length="2147483647">
    <dxf>
      <font>
        <b val="0"/>
      </font>
    </dxf>
  </rfmt>
  <rcc rId="836" sId="16">
    <oc r="E41">
      <f>J41+L41+N41+P41+R41+T41+V41+X41+Z41</f>
    </oc>
    <nc r="E41">
      <f>J41+L41+N41+P41+R41+T41+V41+X41+Z41+AB41</f>
    </nc>
  </rcc>
  <rcc rId="837" sId="16">
    <oc r="E48">
      <f>J48+L48+N48+P48+R48+V48+T48+X48+Z48</f>
    </oc>
    <nc r="E48">
      <f>J48+L48+N48+P48+R48+V48+T48+X48+Z48+AB48</f>
    </nc>
  </rcc>
  <rcc rId="838" sId="16">
    <oc r="E55">
      <f>J55+L55+N55+P55+R55+T55+V55+X55+Z55</f>
    </oc>
    <nc r="E55">
      <f>J55+L55+N55+P55+R55+T55+V55+X55+Z55+AB55</f>
    </nc>
  </rcc>
  <rcc rId="839" sId="16">
    <oc r="F55">
      <f>G55</f>
    </oc>
    <nc r="F55">
      <f>K55+M55+O55+Q55+S55+U55+W55+Y55+AA55+AC55</f>
    </nc>
  </rcc>
  <rfmt sheetId="16" sqref="AH54" start="0" length="0">
    <dxf>
      <font>
        <b val="0"/>
        <sz val="12"/>
        <color auto="1"/>
        <name val="Times New Roman"/>
        <scheme val="none"/>
      </font>
    </dxf>
  </rfmt>
  <rcc rId="840" sId="16">
    <nc r="AH54" t="inlineStr">
      <is>
        <t>Расхождение по пункту составляет всего: 1947,60</t>
      </is>
    </nc>
  </rcc>
  <rcv guid="{60A1F930-4BEC-460A-8E14-01E47F6DD055}" action="delete"/>
  <rdn rId="0" localSheetId="1" customView="1" name="Z_60A1F930_4BEC_460A_8E14_01E47F6DD055_.wvu.Rows" hidden="1" oldHidden="1">
    <formula>'1. РО'!$28:$28,'1. РО'!$32:$32,'1. РО'!$52:$52,'1. РО'!$61:$61,'1. РО'!$73:$73,'1. РО'!$77:$77</formula>
    <oldFormula>'1. РО'!$28:$28,'1. РО'!$32:$32,'1. РО'!$52:$52,'1. РО'!$61:$61,'1. РО'!$73:$73,'1. РО'!$77:$77</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17" customView="1" name="Z_60A1F930_4BEC_460A_8E14_01E47F6DD055_.wvu.PrintTitles" hidden="1" oldHidden="1">
    <formula>'17. УМИ'!$4:$7</formula>
    <oldFormula>'17. УМИ'!$4:$7</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9" sId="19" odxf="1" dxf="1">
    <oc r="J13">
      <f>J14</f>
    </oc>
    <nc r="J13">
      <f>J14</f>
    </nc>
    <odxf>
      <fill>
        <patternFill patternType="none">
          <bgColor indexed="65"/>
        </patternFill>
      </fill>
    </odxf>
    <ndxf>
      <fill>
        <patternFill patternType="solid">
          <bgColor theme="0"/>
        </patternFill>
      </fill>
    </ndxf>
  </rcc>
  <rcc rId="850" sId="19" odxf="1" dxf="1">
    <oc r="K13">
      <f>K14</f>
    </oc>
    <nc r="K13">
      <f>K14</f>
    </nc>
    <odxf>
      <fill>
        <patternFill patternType="none">
          <bgColor indexed="65"/>
        </patternFill>
      </fill>
    </odxf>
    <ndxf>
      <fill>
        <patternFill patternType="solid">
          <bgColor theme="0"/>
        </patternFill>
      </fill>
    </ndxf>
  </rcc>
  <rcc rId="851" sId="19" odxf="1" dxf="1">
    <oc r="L13">
      <f>L14</f>
    </oc>
    <nc r="L13">
      <f>L14</f>
    </nc>
    <odxf>
      <fill>
        <patternFill patternType="none">
          <bgColor indexed="65"/>
        </patternFill>
      </fill>
    </odxf>
    <ndxf>
      <fill>
        <patternFill patternType="solid">
          <bgColor theme="0"/>
        </patternFill>
      </fill>
    </ndxf>
  </rcc>
  <rcc rId="852" sId="19" odxf="1" dxf="1">
    <oc r="M13">
      <f>M14</f>
    </oc>
    <nc r="M13">
      <f>M14</f>
    </nc>
    <odxf>
      <fill>
        <patternFill patternType="none">
          <bgColor indexed="65"/>
        </patternFill>
      </fill>
    </odxf>
    <ndxf>
      <fill>
        <patternFill patternType="solid">
          <bgColor theme="0"/>
        </patternFill>
      </fill>
    </ndxf>
  </rcc>
  <rcc rId="853" sId="19" odxf="1" dxf="1">
    <oc r="N13">
      <f>N14</f>
    </oc>
    <nc r="N13">
      <f>N14</f>
    </nc>
    <odxf>
      <fill>
        <patternFill patternType="none">
          <bgColor indexed="65"/>
        </patternFill>
      </fill>
    </odxf>
    <ndxf>
      <fill>
        <patternFill patternType="solid">
          <bgColor theme="0"/>
        </patternFill>
      </fill>
    </ndxf>
  </rcc>
  <rcc rId="854" sId="19" odxf="1" dxf="1">
    <oc r="O13">
      <f>O14</f>
    </oc>
    <nc r="O13">
      <f>O14</f>
    </nc>
    <odxf>
      <fill>
        <patternFill patternType="none">
          <bgColor indexed="65"/>
        </patternFill>
      </fill>
    </odxf>
    <ndxf>
      <fill>
        <patternFill patternType="solid">
          <bgColor theme="0"/>
        </patternFill>
      </fill>
    </ndxf>
  </rcc>
  <rcc rId="855" sId="19" odxf="1" dxf="1">
    <oc r="P13">
      <f>P14</f>
    </oc>
    <nc r="P13">
      <f>P14</f>
    </nc>
    <odxf>
      <fill>
        <patternFill patternType="none">
          <bgColor indexed="65"/>
        </patternFill>
      </fill>
    </odxf>
    <ndxf>
      <fill>
        <patternFill patternType="solid">
          <bgColor theme="0"/>
        </patternFill>
      </fill>
    </ndxf>
  </rcc>
  <rcc rId="856" sId="19" odxf="1" dxf="1">
    <oc r="Q13">
      <f>Q14</f>
    </oc>
    <nc r="Q13">
      <f>Q14</f>
    </nc>
    <odxf>
      <fill>
        <patternFill patternType="none">
          <bgColor indexed="65"/>
        </patternFill>
      </fill>
    </odxf>
    <ndxf>
      <fill>
        <patternFill patternType="solid">
          <bgColor theme="0"/>
        </patternFill>
      </fill>
    </ndxf>
  </rcc>
  <rcc rId="857" sId="19" odxf="1" dxf="1">
    <oc r="R13">
      <f>R14</f>
    </oc>
    <nc r="R13">
      <f>R14</f>
    </nc>
    <odxf>
      <fill>
        <patternFill patternType="none">
          <bgColor indexed="65"/>
        </patternFill>
      </fill>
    </odxf>
    <ndxf>
      <fill>
        <patternFill patternType="solid">
          <bgColor theme="0"/>
        </patternFill>
      </fill>
    </ndxf>
  </rcc>
  <rcc rId="858" sId="19" odxf="1" dxf="1">
    <oc r="S13">
      <f>S14</f>
    </oc>
    <nc r="S13">
      <f>S14</f>
    </nc>
    <odxf>
      <fill>
        <patternFill patternType="none">
          <bgColor indexed="65"/>
        </patternFill>
      </fill>
    </odxf>
    <ndxf>
      <fill>
        <patternFill patternType="solid">
          <bgColor theme="0"/>
        </patternFill>
      </fill>
    </ndxf>
  </rcc>
  <rcc rId="859" sId="19" odxf="1" dxf="1">
    <oc r="T13">
      <f>T14</f>
    </oc>
    <nc r="T13">
      <f>T14</f>
    </nc>
    <odxf>
      <fill>
        <patternFill patternType="none">
          <bgColor indexed="65"/>
        </patternFill>
      </fill>
    </odxf>
    <ndxf>
      <fill>
        <patternFill patternType="solid">
          <bgColor theme="0"/>
        </patternFill>
      </fill>
    </ndxf>
  </rcc>
  <rcc rId="860" sId="19" odxf="1" dxf="1">
    <oc r="U13">
      <f>U14</f>
    </oc>
    <nc r="U13">
      <f>U14</f>
    </nc>
    <odxf>
      <fill>
        <patternFill patternType="none">
          <bgColor indexed="65"/>
        </patternFill>
      </fill>
    </odxf>
    <ndxf>
      <fill>
        <patternFill patternType="solid">
          <bgColor theme="0"/>
        </patternFill>
      </fill>
    </ndxf>
  </rcc>
  <rcc rId="861" sId="19" odxf="1" dxf="1">
    <oc r="V13">
      <f>V14</f>
    </oc>
    <nc r="V13">
      <f>V14</f>
    </nc>
    <odxf>
      <fill>
        <patternFill patternType="none">
          <bgColor indexed="65"/>
        </patternFill>
      </fill>
    </odxf>
    <ndxf>
      <fill>
        <patternFill patternType="solid">
          <bgColor theme="0"/>
        </patternFill>
      </fill>
    </ndxf>
  </rcc>
  <rcc rId="862" sId="19" odxf="1" dxf="1">
    <oc r="W13">
      <f>W14</f>
    </oc>
    <nc r="W13">
      <f>W14</f>
    </nc>
    <odxf>
      <fill>
        <patternFill patternType="none">
          <bgColor indexed="65"/>
        </patternFill>
      </fill>
    </odxf>
    <ndxf>
      <fill>
        <patternFill patternType="solid">
          <bgColor theme="0"/>
        </patternFill>
      </fill>
    </ndxf>
  </rcc>
  <rcc rId="863" sId="19" odxf="1" dxf="1">
    <oc r="X13">
      <f>X14</f>
    </oc>
    <nc r="X13">
      <f>X14</f>
    </nc>
    <odxf>
      <fill>
        <patternFill patternType="none">
          <bgColor indexed="65"/>
        </patternFill>
      </fill>
    </odxf>
    <ndxf>
      <fill>
        <patternFill patternType="solid">
          <bgColor theme="0"/>
        </patternFill>
      </fill>
    </ndxf>
  </rcc>
  <rcc rId="864" sId="19" odxf="1" dxf="1">
    <oc r="Y13">
      <f>Y14</f>
    </oc>
    <nc r="Y13">
      <f>Y14</f>
    </nc>
    <odxf>
      <fill>
        <patternFill patternType="none">
          <bgColor indexed="65"/>
        </patternFill>
      </fill>
    </odxf>
    <ndxf>
      <fill>
        <patternFill patternType="solid">
          <bgColor theme="0"/>
        </patternFill>
      </fill>
    </ndxf>
  </rcc>
  <rcc rId="865" sId="19" odxf="1" dxf="1">
    <oc r="Z13">
      <f>Z14</f>
    </oc>
    <nc r="Z13">
      <f>Z14</f>
    </nc>
    <odxf>
      <fill>
        <patternFill patternType="none">
          <bgColor indexed="65"/>
        </patternFill>
      </fill>
    </odxf>
    <ndxf>
      <fill>
        <patternFill patternType="solid">
          <bgColor theme="0"/>
        </patternFill>
      </fill>
    </ndxf>
  </rcc>
  <rcc rId="866" sId="19" odxf="1" dxf="1">
    <oc r="AA13">
      <f>AA14</f>
    </oc>
    <nc r="AA13">
      <f>AA14</f>
    </nc>
    <odxf>
      <fill>
        <patternFill patternType="none">
          <bgColor indexed="65"/>
        </patternFill>
      </fill>
    </odxf>
    <ndxf>
      <fill>
        <patternFill patternType="solid">
          <bgColor theme="0"/>
        </patternFill>
      </fill>
    </ndxf>
  </rcc>
  <rcc rId="867" sId="19" odxf="1" dxf="1">
    <oc r="AB13">
      <f>AB14</f>
    </oc>
    <nc r="AB13">
      <f>AB14</f>
    </nc>
    <odxf>
      <fill>
        <patternFill patternType="none">
          <bgColor indexed="65"/>
        </patternFill>
      </fill>
    </odxf>
    <ndxf>
      <fill>
        <patternFill patternType="solid">
          <bgColor theme="0"/>
        </patternFill>
      </fill>
    </ndxf>
  </rcc>
  <rcc rId="868" sId="19" odxf="1" dxf="1">
    <oc r="AC13">
      <f>AC14</f>
    </oc>
    <nc r="AC13">
      <f>AC14</f>
    </nc>
    <odxf>
      <fill>
        <patternFill patternType="none">
          <bgColor indexed="65"/>
        </patternFill>
      </fill>
    </odxf>
    <ndxf>
      <fill>
        <patternFill patternType="solid">
          <bgColor theme="0"/>
        </patternFill>
      </fill>
    </ndxf>
  </rcc>
  <rcc rId="869" sId="19" odxf="1" dxf="1">
    <oc r="AD13">
      <f>AD14</f>
    </oc>
    <nc r="AD13">
      <f>AD14</f>
    </nc>
    <odxf>
      <fill>
        <patternFill patternType="none">
          <bgColor indexed="65"/>
        </patternFill>
      </fill>
    </odxf>
    <ndxf>
      <fill>
        <patternFill patternType="solid">
          <bgColor theme="0"/>
        </patternFill>
      </fill>
    </ndxf>
  </rcc>
  <rcc rId="870" sId="19" odxf="1" dxf="1">
    <oc r="AE13">
      <f>AE14</f>
    </oc>
    <nc r="AE13">
      <f>AE14</f>
    </nc>
    <odxf>
      <fill>
        <patternFill patternType="none">
          <bgColor indexed="65"/>
        </patternFill>
      </fill>
    </odxf>
    <ndxf>
      <fill>
        <patternFill patternType="solid">
          <bgColor theme="0"/>
        </patternFill>
      </fill>
    </ndxf>
  </rcc>
  <rcc rId="871" sId="19" odxf="1" dxf="1">
    <oc r="AF13">
      <f>AF14</f>
    </oc>
    <nc r="AF13">
      <f>AF14</f>
    </nc>
    <odxf>
      <fill>
        <patternFill patternType="none">
          <bgColor indexed="65"/>
        </patternFill>
      </fill>
    </odxf>
    <ndxf>
      <fill>
        <patternFill patternType="solid">
          <bgColor theme="0"/>
        </patternFill>
      </fill>
    </ndxf>
  </rcc>
  <rcc rId="872" sId="19" odxf="1" dxf="1">
    <oc r="AG13">
      <f>AG14</f>
    </oc>
    <nc r="AG13">
      <f>AG14</f>
    </nc>
    <odxf>
      <fill>
        <patternFill patternType="none">
          <bgColor indexed="65"/>
        </patternFill>
      </fill>
    </odxf>
    <ndxf>
      <fill>
        <patternFill patternType="solid">
          <bgColor theme="0"/>
        </patternFill>
      </fill>
    </ndxf>
  </rcc>
  <rfmt sheetId="19" sqref="J14" start="0" length="0">
    <dxf>
      <fill>
        <patternFill patternType="solid">
          <bgColor theme="0"/>
        </patternFill>
      </fill>
    </dxf>
  </rfmt>
  <rfmt sheetId="19" sqref="K14" start="0" length="0">
    <dxf>
      <fill>
        <patternFill patternType="solid">
          <bgColor theme="0"/>
        </patternFill>
      </fill>
    </dxf>
  </rfmt>
  <rfmt sheetId="19" sqref="L14" start="0" length="0">
    <dxf>
      <fill>
        <patternFill patternType="solid">
          <bgColor theme="0"/>
        </patternFill>
      </fill>
    </dxf>
  </rfmt>
  <rfmt sheetId="19" sqref="M14" start="0" length="0">
    <dxf>
      <fill>
        <patternFill patternType="solid">
          <bgColor theme="0"/>
        </patternFill>
      </fill>
    </dxf>
  </rfmt>
  <rcc rId="873" sId="19" odxf="1" dxf="1" numFmtId="4">
    <oc r="N14">
      <v>299</v>
    </oc>
    <nc r="N14">
      <v>400</v>
    </nc>
    <odxf>
      <fill>
        <patternFill patternType="none">
          <bgColor indexed="65"/>
        </patternFill>
      </fill>
    </odxf>
    <ndxf>
      <fill>
        <patternFill patternType="solid">
          <bgColor theme="0"/>
        </patternFill>
      </fill>
    </ndxf>
  </rcc>
  <rfmt sheetId="19" sqref="O14" start="0" length="0">
    <dxf>
      <fill>
        <patternFill patternType="solid">
          <bgColor theme="0"/>
        </patternFill>
      </fill>
    </dxf>
  </rfmt>
  <rfmt sheetId="19" sqref="P14" start="0" length="0">
    <dxf>
      <fill>
        <patternFill patternType="solid">
          <bgColor theme="0"/>
        </patternFill>
      </fill>
    </dxf>
  </rfmt>
  <rfmt sheetId="19" sqref="Q14" start="0" length="0">
    <dxf>
      <fill>
        <patternFill patternType="solid">
          <bgColor theme="0"/>
        </patternFill>
      </fill>
    </dxf>
  </rfmt>
  <rfmt sheetId="19" sqref="R14" start="0" length="0">
    <dxf>
      <fill>
        <patternFill patternType="solid">
          <bgColor theme="0"/>
        </patternFill>
      </fill>
    </dxf>
  </rfmt>
  <rcc rId="874" sId="19" odxf="1" dxf="1" numFmtId="4">
    <oc r="S14">
      <v>0</v>
    </oc>
    <nc r="S14">
      <v>30.94172</v>
    </nc>
    <odxf>
      <fill>
        <patternFill patternType="none">
          <bgColor indexed="65"/>
        </patternFill>
      </fill>
    </odxf>
    <ndxf>
      <fill>
        <patternFill patternType="solid">
          <bgColor theme="0"/>
        </patternFill>
      </fill>
    </ndxf>
  </rcc>
  <rfmt sheetId="19" sqref="T14" start="0" length="0">
    <dxf>
      <fill>
        <patternFill patternType="solid">
          <bgColor theme="0"/>
        </patternFill>
      </fill>
    </dxf>
  </rfmt>
  <rcc rId="875" sId="19" odxf="1" dxf="1" numFmtId="4">
    <oc r="U14">
      <v>0</v>
    </oc>
    <nc r="U14">
      <v>8.2511600000000005</v>
    </nc>
    <odxf>
      <fill>
        <patternFill patternType="none">
          <bgColor indexed="65"/>
        </patternFill>
      </fill>
    </odxf>
    <ndxf>
      <fill>
        <patternFill patternType="solid">
          <bgColor theme="0"/>
        </patternFill>
      </fill>
    </ndxf>
  </rcc>
  <rfmt sheetId="19" sqref="V14" start="0" length="0">
    <dxf>
      <fill>
        <patternFill patternType="solid">
          <bgColor theme="0"/>
        </patternFill>
      </fill>
    </dxf>
  </rfmt>
  <rfmt sheetId="19" sqref="W14" start="0" length="0">
    <dxf>
      <fill>
        <patternFill patternType="solid">
          <bgColor theme="0"/>
        </patternFill>
      </fill>
    </dxf>
  </rfmt>
  <rfmt sheetId="19" sqref="X14" start="0" length="0">
    <dxf>
      <fill>
        <patternFill patternType="solid">
          <bgColor theme="0"/>
        </patternFill>
      </fill>
    </dxf>
  </rfmt>
  <rfmt sheetId="19" sqref="Y14" start="0" length="0">
    <dxf>
      <fill>
        <patternFill patternType="solid">
          <bgColor theme="0"/>
        </patternFill>
      </fill>
    </dxf>
  </rfmt>
  <rfmt sheetId="19" sqref="Z14" start="0" length="0">
    <dxf>
      <fill>
        <patternFill patternType="solid">
          <bgColor theme="0"/>
        </patternFill>
      </fill>
    </dxf>
  </rfmt>
  <rfmt sheetId="19" sqref="AA14" start="0" length="0">
    <dxf>
      <fill>
        <patternFill patternType="solid">
          <bgColor theme="0"/>
        </patternFill>
      </fill>
    </dxf>
  </rfmt>
  <rcc rId="876" sId="19" odxf="1" dxf="1" numFmtId="4">
    <oc r="AB14">
      <v>0</v>
    </oc>
    <nc r="AB14">
      <v>299</v>
    </nc>
    <odxf>
      <fill>
        <patternFill patternType="none">
          <bgColor indexed="65"/>
        </patternFill>
      </fill>
    </odxf>
    <ndxf>
      <fill>
        <patternFill patternType="solid">
          <bgColor theme="0"/>
        </patternFill>
      </fill>
    </ndxf>
  </rcc>
  <rcc rId="877" sId="19" odxf="1" dxf="1" numFmtId="4">
    <oc r="AC14">
      <v>0</v>
    </oc>
    <nc r="AC14">
      <v>9.7626799999999996</v>
    </nc>
    <odxf>
      <fill>
        <patternFill patternType="none">
          <bgColor indexed="65"/>
        </patternFill>
      </fill>
    </odxf>
    <ndxf>
      <fill>
        <patternFill patternType="solid">
          <bgColor theme="0"/>
        </patternFill>
      </fill>
    </ndxf>
  </rcc>
  <rfmt sheetId="19" sqref="AD14" start="0" length="0">
    <dxf>
      <fill>
        <patternFill patternType="solid">
          <bgColor theme="0"/>
        </patternFill>
      </fill>
    </dxf>
  </rfmt>
  <rfmt sheetId="19" sqref="AE14" start="0" length="0">
    <dxf>
      <fill>
        <patternFill patternType="solid">
          <bgColor theme="0"/>
        </patternFill>
      </fill>
    </dxf>
  </rfmt>
  <rfmt sheetId="19" sqref="AF14" start="0" length="0">
    <dxf>
      <fill>
        <patternFill patternType="solid">
          <bgColor theme="0"/>
        </patternFill>
      </fill>
    </dxf>
  </rfmt>
  <rfmt sheetId="19" sqref="AG14" start="0" length="0">
    <dxf>
      <fill>
        <patternFill patternType="solid">
          <bgColor theme="0"/>
        </patternFill>
      </fill>
    </dxf>
  </rfmt>
  <rcc rId="878" sId="19" odxf="1" dxf="1">
    <oc r="J16">
      <f>J17</f>
    </oc>
    <nc r="J16">
      <f>J17</f>
    </nc>
    <odxf>
      <fill>
        <patternFill patternType="none">
          <bgColor indexed="65"/>
        </patternFill>
      </fill>
    </odxf>
    <ndxf>
      <fill>
        <patternFill patternType="solid">
          <bgColor theme="0"/>
        </patternFill>
      </fill>
    </ndxf>
  </rcc>
  <rcc rId="879" sId="19" odxf="1" dxf="1">
    <oc r="K16">
      <f>K17</f>
    </oc>
    <nc r="K16">
      <f>K17</f>
    </nc>
    <odxf>
      <fill>
        <patternFill patternType="none">
          <bgColor indexed="65"/>
        </patternFill>
      </fill>
    </odxf>
    <ndxf>
      <fill>
        <patternFill patternType="solid">
          <bgColor theme="0"/>
        </patternFill>
      </fill>
    </ndxf>
  </rcc>
  <rcc rId="880" sId="19" odxf="1" dxf="1">
    <oc r="L16">
      <f>L17</f>
    </oc>
    <nc r="L16">
      <f>L17</f>
    </nc>
    <odxf>
      <fill>
        <patternFill patternType="none">
          <bgColor indexed="65"/>
        </patternFill>
      </fill>
    </odxf>
    <ndxf>
      <fill>
        <patternFill patternType="solid">
          <bgColor theme="0"/>
        </patternFill>
      </fill>
    </ndxf>
  </rcc>
  <rcc rId="881" sId="19" odxf="1" dxf="1">
    <oc r="M16">
      <f>M17</f>
    </oc>
    <nc r="M16">
      <f>M17</f>
    </nc>
    <odxf>
      <fill>
        <patternFill patternType="none">
          <bgColor indexed="65"/>
        </patternFill>
      </fill>
    </odxf>
    <ndxf>
      <fill>
        <patternFill patternType="solid">
          <bgColor theme="0"/>
        </patternFill>
      </fill>
    </ndxf>
  </rcc>
  <rcc rId="882" sId="19" odxf="1" dxf="1">
    <oc r="N16">
      <f>N17</f>
    </oc>
    <nc r="N16">
      <f>N17</f>
    </nc>
    <odxf>
      <fill>
        <patternFill patternType="none">
          <bgColor indexed="65"/>
        </patternFill>
      </fill>
    </odxf>
    <ndxf>
      <fill>
        <patternFill patternType="solid">
          <bgColor theme="0"/>
        </patternFill>
      </fill>
    </ndxf>
  </rcc>
  <rcc rId="883" sId="19" odxf="1" dxf="1">
    <oc r="O16">
      <f>O17</f>
    </oc>
    <nc r="O16">
      <f>O17</f>
    </nc>
    <odxf>
      <fill>
        <patternFill patternType="none">
          <bgColor indexed="65"/>
        </patternFill>
      </fill>
    </odxf>
    <ndxf>
      <fill>
        <patternFill patternType="solid">
          <bgColor theme="0"/>
        </patternFill>
      </fill>
    </ndxf>
  </rcc>
  <rcc rId="884" sId="19" odxf="1" dxf="1">
    <oc r="P16">
      <f>P17</f>
    </oc>
    <nc r="P16">
      <f>P17</f>
    </nc>
    <odxf>
      <fill>
        <patternFill patternType="none">
          <bgColor indexed="65"/>
        </patternFill>
      </fill>
    </odxf>
    <ndxf>
      <fill>
        <patternFill patternType="solid">
          <bgColor theme="0"/>
        </patternFill>
      </fill>
    </ndxf>
  </rcc>
  <rcc rId="885" sId="19" odxf="1" dxf="1">
    <oc r="Q16">
      <f>Q17</f>
    </oc>
    <nc r="Q16">
      <f>Q17</f>
    </nc>
    <odxf>
      <fill>
        <patternFill patternType="none">
          <bgColor indexed="65"/>
        </patternFill>
      </fill>
    </odxf>
    <ndxf>
      <fill>
        <patternFill patternType="solid">
          <bgColor theme="0"/>
        </patternFill>
      </fill>
    </ndxf>
  </rcc>
  <rcc rId="886" sId="19" odxf="1" dxf="1">
    <oc r="R16">
      <f>R17</f>
    </oc>
    <nc r="R16">
      <f>R17</f>
    </nc>
    <odxf>
      <fill>
        <patternFill patternType="none">
          <bgColor indexed="65"/>
        </patternFill>
      </fill>
    </odxf>
    <ndxf>
      <fill>
        <patternFill patternType="solid">
          <bgColor theme="0"/>
        </patternFill>
      </fill>
    </ndxf>
  </rcc>
  <rcc rId="887" sId="19" odxf="1" dxf="1">
    <oc r="S16">
      <f>S17</f>
    </oc>
    <nc r="S16">
      <f>S17</f>
    </nc>
    <odxf>
      <fill>
        <patternFill patternType="none">
          <bgColor indexed="65"/>
        </patternFill>
      </fill>
    </odxf>
    <ndxf>
      <fill>
        <patternFill patternType="solid">
          <bgColor theme="0"/>
        </patternFill>
      </fill>
    </ndxf>
  </rcc>
  <rcc rId="888" sId="19" odxf="1" dxf="1">
    <oc r="T16">
      <f>T17</f>
    </oc>
    <nc r="T16">
      <f>T17</f>
    </nc>
    <odxf>
      <fill>
        <patternFill patternType="none">
          <bgColor indexed="65"/>
        </patternFill>
      </fill>
    </odxf>
    <ndxf>
      <fill>
        <patternFill patternType="solid">
          <bgColor theme="0"/>
        </patternFill>
      </fill>
    </ndxf>
  </rcc>
  <rcc rId="889" sId="19" odxf="1" dxf="1">
    <oc r="U16">
      <f>U17</f>
    </oc>
    <nc r="U16">
      <f>U17</f>
    </nc>
    <odxf>
      <fill>
        <patternFill patternType="none">
          <bgColor indexed="65"/>
        </patternFill>
      </fill>
    </odxf>
    <ndxf>
      <fill>
        <patternFill patternType="solid">
          <bgColor theme="0"/>
        </patternFill>
      </fill>
    </ndxf>
  </rcc>
  <rcc rId="890" sId="19" odxf="1" dxf="1">
    <oc r="V16">
      <f>V17</f>
    </oc>
    <nc r="V16">
      <f>V17</f>
    </nc>
    <odxf>
      <fill>
        <patternFill patternType="none">
          <bgColor indexed="65"/>
        </patternFill>
      </fill>
    </odxf>
    <ndxf>
      <fill>
        <patternFill patternType="solid">
          <bgColor theme="0"/>
        </patternFill>
      </fill>
    </ndxf>
  </rcc>
  <rcc rId="891" sId="19" odxf="1" dxf="1">
    <oc r="W16">
      <f>W17</f>
    </oc>
    <nc r="W16">
      <f>W17</f>
    </nc>
    <odxf>
      <fill>
        <patternFill patternType="none">
          <bgColor indexed="65"/>
        </patternFill>
      </fill>
    </odxf>
    <ndxf>
      <fill>
        <patternFill patternType="solid">
          <bgColor theme="0"/>
        </patternFill>
      </fill>
    </ndxf>
  </rcc>
  <rcc rId="892" sId="19" odxf="1" dxf="1">
    <oc r="X16">
      <f>X17</f>
    </oc>
    <nc r="X16">
      <f>X17</f>
    </nc>
    <odxf>
      <fill>
        <patternFill patternType="none">
          <bgColor indexed="65"/>
        </patternFill>
      </fill>
    </odxf>
    <ndxf>
      <fill>
        <patternFill patternType="solid">
          <bgColor theme="0"/>
        </patternFill>
      </fill>
    </ndxf>
  </rcc>
  <rcc rId="893" sId="19" odxf="1" dxf="1">
    <oc r="Y16">
      <f>Y17</f>
    </oc>
    <nc r="Y16">
      <f>Y17</f>
    </nc>
    <odxf>
      <fill>
        <patternFill patternType="none">
          <bgColor indexed="65"/>
        </patternFill>
      </fill>
    </odxf>
    <ndxf>
      <fill>
        <patternFill patternType="solid">
          <bgColor theme="0"/>
        </patternFill>
      </fill>
    </ndxf>
  </rcc>
  <rcc rId="894" sId="19" odxf="1" dxf="1">
    <oc r="Z16">
      <f>Z17</f>
    </oc>
    <nc r="Z16">
      <f>Z17</f>
    </nc>
    <odxf>
      <fill>
        <patternFill patternType="none">
          <bgColor indexed="65"/>
        </patternFill>
      </fill>
    </odxf>
    <ndxf>
      <fill>
        <patternFill patternType="solid">
          <bgColor theme="0"/>
        </patternFill>
      </fill>
    </ndxf>
  </rcc>
  <rcc rId="895" sId="19" odxf="1" dxf="1">
    <oc r="AA16">
      <f>AA17</f>
    </oc>
    <nc r="AA16">
      <f>AA17</f>
    </nc>
    <odxf>
      <fill>
        <patternFill patternType="none">
          <bgColor indexed="65"/>
        </patternFill>
      </fill>
    </odxf>
    <ndxf>
      <fill>
        <patternFill patternType="solid">
          <bgColor theme="0"/>
        </patternFill>
      </fill>
    </ndxf>
  </rcc>
  <rcc rId="896" sId="19" odxf="1" dxf="1">
    <oc r="AB16">
      <f>AB17</f>
    </oc>
    <nc r="AB16">
      <f>AB17</f>
    </nc>
    <odxf>
      <fill>
        <patternFill patternType="none">
          <bgColor indexed="65"/>
        </patternFill>
      </fill>
    </odxf>
    <ndxf>
      <fill>
        <patternFill patternType="solid">
          <bgColor theme="0"/>
        </patternFill>
      </fill>
    </ndxf>
  </rcc>
  <rcc rId="897" sId="19" odxf="1" dxf="1">
    <oc r="AC16">
      <f>AC17</f>
    </oc>
    <nc r="AC16">
      <f>AC17</f>
    </nc>
    <odxf>
      <fill>
        <patternFill patternType="none">
          <bgColor indexed="65"/>
        </patternFill>
      </fill>
    </odxf>
    <ndxf>
      <fill>
        <patternFill patternType="solid">
          <bgColor theme="0"/>
        </patternFill>
      </fill>
    </ndxf>
  </rcc>
  <rcc rId="898" sId="19" odxf="1" dxf="1">
    <oc r="AD16">
      <f>AD17</f>
    </oc>
    <nc r="AD16">
      <f>AD17</f>
    </nc>
    <odxf>
      <fill>
        <patternFill patternType="none">
          <bgColor indexed="65"/>
        </patternFill>
      </fill>
    </odxf>
    <ndxf>
      <fill>
        <patternFill patternType="solid">
          <bgColor theme="0"/>
        </patternFill>
      </fill>
    </ndxf>
  </rcc>
  <rcc rId="899" sId="19" odxf="1" dxf="1">
    <oc r="AE16">
      <f>AE17</f>
    </oc>
    <nc r="AE16">
      <f>AE17</f>
    </nc>
    <odxf>
      <fill>
        <patternFill patternType="none">
          <bgColor indexed="65"/>
        </patternFill>
      </fill>
    </odxf>
    <ndxf>
      <fill>
        <patternFill patternType="solid">
          <bgColor theme="0"/>
        </patternFill>
      </fill>
    </ndxf>
  </rcc>
  <rcc rId="900" sId="19" odxf="1" dxf="1">
    <oc r="AF16">
      <f>AF17</f>
    </oc>
    <nc r="AF16">
      <f>AF17</f>
    </nc>
    <odxf>
      <fill>
        <patternFill patternType="none">
          <bgColor indexed="65"/>
        </patternFill>
      </fill>
    </odxf>
    <ndxf>
      <fill>
        <patternFill patternType="solid">
          <bgColor theme="0"/>
        </patternFill>
      </fill>
    </ndxf>
  </rcc>
  <rcc rId="901" sId="19" odxf="1" dxf="1">
    <oc r="AG16">
      <f>AG17</f>
    </oc>
    <nc r="AG16">
      <f>AG17</f>
    </nc>
    <odxf>
      <fill>
        <patternFill patternType="none">
          <bgColor indexed="65"/>
        </patternFill>
      </fill>
    </odxf>
    <ndxf>
      <fill>
        <patternFill patternType="solid">
          <bgColor theme="0"/>
        </patternFill>
      </fill>
    </ndxf>
  </rcc>
  <rcc rId="902" sId="19" numFmtId="4">
    <oc r="J17">
      <v>2602.2539999999999</v>
    </oc>
    <nc r="J17">
      <v>2602.25432</v>
    </nc>
  </rcc>
  <rcc rId="903" sId="19">
    <oc r="L17">
      <f>3282.855+206.29961</f>
    </oc>
    <nc r="L17">
      <f>3282.855+206.29961</f>
    </nc>
  </rcc>
  <rcc rId="904" sId="19">
    <oc r="M17">
      <f>1428.86802+206.29961</f>
    </oc>
    <nc r="M17">
      <f>1696.67402+206.29961</f>
    </nc>
  </rcc>
  <rcc rId="905" sId="19">
    <oc r="N17">
      <f>1116.752+111.03594</f>
    </oc>
    <nc r="N17">
      <f>1116.752+111.03594</f>
    </nc>
  </rcc>
  <rcc rId="906" sId="19">
    <oc r="O17">
      <f>1332.98505+111.03594</f>
    </oc>
    <nc r="O17">
      <f>1332.98505+111.03594</f>
    </nc>
  </rcc>
  <rcc rId="907" sId="19">
    <oc r="P17">
      <f>6764.39581</f>
    </oc>
    <nc r="P17">
      <f>7267.40081+444.14376</f>
    </nc>
  </rcc>
  <rcc rId="908" sId="19" numFmtId="4">
    <oc r="Q17">
      <v>0</v>
    </oc>
    <nc r="Q17">
      <f>2836.24998+444.14376</f>
    </nc>
  </rcc>
  <rcc rId="909" sId="19" numFmtId="4">
    <oc r="R17">
      <v>1071.3579999999999</v>
    </oc>
    <nc r="R17">
      <f>1717.948+134.13142</f>
    </nc>
  </rcc>
  <rcc rId="910" sId="19" numFmtId="4">
    <oc r="S17">
      <v>0</v>
    </oc>
    <nc r="S17">
      <f>2185.28843+134.13142</f>
    </nc>
  </rcc>
  <rcc rId="911" sId="19" numFmtId="4">
    <oc r="T17">
      <v>1575.1579999999999</v>
    </oc>
    <nc r="T17">
      <v>2081.7179999999998</v>
    </nc>
  </rcc>
  <rcc rId="912" sId="19" numFmtId="4">
    <oc r="U17">
      <v>0</v>
    </oc>
    <nc r="U17">
      <v>3366.8392600000002</v>
    </nc>
  </rcc>
  <rcc rId="913" sId="19" numFmtId="4">
    <oc r="V17">
      <v>6810.6444600000004</v>
    </oc>
    <nc r="V17">
      <v>7885.4738699999998</v>
    </nc>
  </rcc>
  <rcc rId="914" sId="19" numFmtId="4">
    <oc r="W17">
      <v>0</v>
    </oc>
    <nc r="W17">
      <v>4531.6786300000003</v>
    </nc>
  </rcc>
  <rcc rId="915" sId="19" numFmtId="4">
    <oc r="X17">
      <v>861.35799999999995</v>
    </oc>
    <nc r="X17">
      <v>1056.258</v>
    </nc>
  </rcc>
  <rcc rId="916" sId="19" numFmtId="4">
    <oc r="Y17">
      <v>0</v>
    </oc>
    <nc r="Y17">
      <v>2488.1683400000002</v>
    </nc>
  </rcc>
  <rcc rId="917" sId="19" numFmtId="4">
    <oc r="Z17">
      <v>911.35799999999995</v>
    </oc>
    <nc r="Z17">
      <v>907.79963999999995</v>
    </nc>
  </rcc>
  <rcc rId="918" sId="19" numFmtId="4">
    <oc r="AA17">
      <v>0</v>
    </oc>
    <nc r="AA17">
      <v>2478.7598600000001</v>
    </nc>
  </rcc>
  <rcc rId="919" sId="19" numFmtId="4">
    <oc r="AB17">
      <v>3575.2428</v>
    </oc>
    <nc r="AB17">
      <v>3349.81916</v>
    </nc>
  </rcc>
  <rcc rId="920" sId="19" numFmtId="4">
    <oc r="AC17">
      <v>0</v>
    </oc>
    <nc r="AC17">
      <v>2859.5976700000001</v>
    </nc>
  </rcc>
  <rcc rId="921" sId="19" numFmtId="4">
    <oc r="AD17">
      <v>861.04962999999998</v>
    </oc>
    <nc r="AD17">
      <v>820.1</v>
    </nc>
  </rcc>
  <rcc rId="922" sId="19">
    <oc r="AF17">
      <f>6031.97398+1151.20039+1381.36406</f>
    </oc>
    <nc r="AF17">
      <f>3414.121+1151.20039+803.0888</f>
    </nc>
  </rcc>
  <rcc rId="923" sId="19">
    <oc r="J18">
      <f>J19+J20+J21</f>
    </oc>
    <nc r="J18">
      <f>J19+J20+J21</f>
    </nc>
  </rcc>
  <rcc rId="924" sId="19">
    <oc r="K18">
      <f>K19+K20+K21</f>
    </oc>
    <nc r="K18">
      <f>K19+K20+K21</f>
    </nc>
  </rcc>
  <rcc rId="925" sId="19">
    <oc r="L18">
      <f>L19+L20+L21</f>
    </oc>
    <nc r="L18">
      <f>L19+L20+L21</f>
    </nc>
  </rcc>
  <rcc rId="926" sId="19">
    <oc r="M18">
      <f>M19+M20+M21</f>
    </oc>
    <nc r="M18">
      <f>M19+M20+M21</f>
    </nc>
  </rcc>
  <rcc rId="927" sId="19">
    <oc r="N18">
      <f>N19+N20+N21</f>
    </oc>
    <nc r="N18">
      <f>N19+N20+N21</f>
    </nc>
  </rcc>
  <rcc rId="928" sId="19">
    <oc r="O18">
      <f>O19+O20+O21</f>
    </oc>
    <nc r="O18">
      <f>O19+O20+O21</f>
    </nc>
  </rcc>
  <rcc rId="929" sId="19">
    <oc r="P18">
      <f>P19+P20+P21</f>
    </oc>
    <nc r="P18">
      <f>P19+P20+P21</f>
    </nc>
  </rcc>
  <rcc rId="930" sId="19">
    <oc r="Q18">
      <f>Q19+Q20+Q21</f>
    </oc>
    <nc r="Q18">
      <f>Q19+Q20+Q21</f>
    </nc>
  </rcc>
  <rcc rId="931" sId="19">
    <oc r="R18">
      <f>R19+R20+R21</f>
    </oc>
    <nc r="R18">
      <f>R19+R20+R21</f>
    </nc>
  </rcc>
  <rcc rId="932" sId="19">
    <oc r="S18">
      <f>S19+S20+S21</f>
    </oc>
    <nc r="S18">
      <f>S19+S20+S21</f>
    </nc>
  </rcc>
  <rcc rId="933" sId="19">
    <oc r="T18">
      <f>T19+T20+T21</f>
    </oc>
    <nc r="T18">
      <f>T19+T20+T21</f>
    </nc>
  </rcc>
  <rcc rId="934" sId="19">
    <oc r="U18">
      <f>U19+U20+U21</f>
    </oc>
    <nc r="U18">
      <f>U19+U20+U21</f>
    </nc>
  </rcc>
  <rcc rId="935" sId="19">
    <oc r="V18">
      <f>V19+V20+V21</f>
    </oc>
    <nc r="V18">
      <f>V19+V20+V21</f>
    </nc>
  </rcc>
  <rcc rId="936" sId="19">
    <oc r="W18">
      <f>W19+W20+W21</f>
    </oc>
    <nc r="W18">
      <f>W19+W20+W21</f>
    </nc>
  </rcc>
  <rcc rId="937" sId="19">
    <oc r="X18">
      <f>X19+X20+X21</f>
    </oc>
    <nc r="X18">
      <f>X19+X20+X21</f>
    </nc>
  </rcc>
  <rcc rId="938" sId="19">
    <oc r="Y18">
      <f>Y19+Y20+Y21</f>
    </oc>
    <nc r="Y18">
      <f>Y19+Y20+Y21</f>
    </nc>
  </rcc>
  <rcc rId="939" sId="19">
    <oc r="Z18">
      <f>Z19+Z20+Z21</f>
    </oc>
    <nc r="Z18">
      <f>Z19+Z20+Z21</f>
    </nc>
  </rcc>
  <rcc rId="940" sId="19">
    <oc r="AA18">
      <f>AA19+AA20+AA21</f>
    </oc>
    <nc r="AA18">
      <f>AA19+AA20+AA21</f>
    </nc>
  </rcc>
  <rcc rId="941" sId="19">
    <oc r="AB18">
      <f>AB19+AB20+AB21</f>
    </oc>
    <nc r="AB18">
      <f>AB19+AB20+AB21</f>
    </nc>
  </rcc>
  <rcc rId="942" sId="19">
    <oc r="AC18">
      <f>AC19+AC20+AC21</f>
    </oc>
    <nc r="AC18">
      <f>AC19+AC20+AC21</f>
    </nc>
  </rcc>
  <rcc rId="943" sId="19">
    <oc r="AD18">
      <f>AD19+AD20+AD21</f>
    </oc>
    <nc r="AD18">
      <f>AD19+AD20+AD21</f>
    </nc>
  </rcc>
  <rcc rId="944" sId="19">
    <oc r="AE18">
      <f>AE19+AE20+AE21</f>
    </oc>
    <nc r="AE18">
      <f>AE19+AE20+AE21</f>
    </nc>
  </rcc>
  <rcc rId="945" sId="19">
    <oc r="AF18">
      <f>AF19+AF20+AF21</f>
    </oc>
    <nc r="AF18">
      <f>AF19+AF20+AF21</f>
    </nc>
  </rcc>
  <rcc rId="946" sId="19" odxf="1" dxf="1">
    <oc r="AG18">
      <f>AG19+AG20+AG21</f>
    </oc>
    <nc r="AG18">
      <f>AG19+AG20+AG21</f>
    </nc>
    <odxf>
      <fill>
        <patternFill patternType="none">
          <bgColor indexed="65"/>
        </patternFill>
      </fill>
    </odxf>
    <ndxf>
      <fill>
        <patternFill patternType="solid">
          <bgColor theme="0"/>
        </patternFill>
      </fill>
    </ndxf>
  </rcc>
  <rcc rId="947" sId="19" numFmtId="4">
    <oc r="P19">
      <v>457.40699999999998</v>
    </oc>
    <nc r="P19">
      <v>614.40700000000004</v>
    </nc>
  </rcc>
  <rcc rId="948" sId="19" numFmtId="4">
    <oc r="Q19">
      <v>0</v>
    </oc>
    <nc r="Q19">
      <v>453.94542000000001</v>
    </nc>
  </rcc>
  <rcc rId="949" sId="19" numFmtId="4">
    <oc r="R19">
      <v>544.53800000000001</v>
    </oc>
    <nc r="R19">
      <v>649.43899999999996</v>
    </nc>
  </rcc>
  <rcc rId="950" sId="19" numFmtId="4">
    <oc r="S19">
      <v>0</v>
    </oc>
    <nc r="S19">
      <v>678.62918000000002</v>
    </nc>
  </rcc>
  <rcc rId="951" sId="19" numFmtId="4">
    <oc r="T19">
      <v>558.61</v>
    </oc>
    <nc r="T19">
      <v>296.709</v>
    </nc>
  </rcc>
  <rcc rId="952" sId="19" numFmtId="4">
    <oc r="U19">
      <v>0</v>
    </oc>
    <nc r="U19">
      <v>427.98540000000003</v>
    </nc>
  </rcc>
  <rcc rId="953" sId="19" numFmtId="4">
    <oc r="V19">
      <v>523.43399999999997</v>
    </oc>
    <nc r="V19">
      <v>546.70699999999999</v>
    </nc>
  </rcc>
  <rcc rId="954" sId="19" numFmtId="4">
    <oc r="W19">
      <v>0</v>
    </oc>
    <nc r="W19">
      <v>488.57035000000002</v>
    </nc>
  </rcc>
  <rcc rId="955" sId="19" numFmtId="4">
    <oc r="X19">
      <v>653.15700000000004</v>
    </oc>
    <nc r="X19">
      <v>705.66300000000001</v>
    </nc>
  </rcc>
  <rcc rId="956" sId="19" numFmtId="4">
    <oc r="Y19">
      <v>0</v>
    </oc>
    <nc r="Y19">
      <v>808.19493999999997</v>
    </nc>
  </rcc>
  <rcc rId="957" sId="19" numFmtId="4">
    <oc r="Z19">
      <v>718.149</v>
    </oc>
    <nc r="Z19">
      <v>642.37</v>
    </nc>
  </rcc>
  <rcc rId="958" sId="19" numFmtId="4">
    <oc r="AA19">
      <v>0</v>
    </oc>
    <nc r="AA19">
      <v>597.96470999999997</v>
    </nc>
  </rcc>
  <rcc rId="959" sId="19" numFmtId="4">
    <oc r="AB19">
      <v>339.88</v>
    </oc>
    <nc r="AB19">
      <v>384.56900000000002</v>
    </nc>
  </rcc>
  <rcc rId="960" sId="19" numFmtId="4">
    <oc r="AC19">
      <v>0</v>
    </oc>
    <nc r="AC19">
      <v>307.68378000000001</v>
    </nc>
  </rcc>
  <rcc rId="961" sId="19" numFmtId="4">
    <oc r="AF19">
      <v>524.34</v>
    </oc>
    <nc r="AF19">
      <v>479.65100000000001</v>
    </nc>
  </rcc>
  <rfmt sheetId="19" sqref="AG19" start="0" length="0">
    <dxf>
      <fill>
        <patternFill patternType="solid">
          <bgColor theme="0"/>
        </patternFill>
      </fill>
    </dxf>
  </rfmt>
  <rcc rId="962" sId="19" numFmtId="4">
    <oc r="P20">
      <v>186.07415</v>
    </oc>
    <nc r="P20">
      <v>201.77414999999999</v>
    </nc>
  </rcc>
  <rcc rId="963" sId="19" numFmtId="4">
    <oc r="Q20">
      <v>0</v>
    </oc>
    <nc r="Q20">
      <v>199.33436</v>
    </nc>
  </rcc>
  <rcc rId="964" sId="19" numFmtId="4">
    <oc r="R20">
      <v>192.84</v>
    </oc>
    <nc r="R20">
      <v>177.14</v>
    </nc>
  </rcc>
  <rcc rId="965" sId="19" numFmtId="4">
    <oc r="T20">
      <v>118.44</v>
    </oc>
    <nc r="T20">
      <v>324.19898999999998</v>
    </nc>
  </rcc>
  <rcc rId="966" sId="19" numFmtId="4">
    <oc r="U20">
      <v>0</v>
    </oc>
    <nc r="U20">
      <v>340.09037000000001</v>
    </nc>
  </rcc>
  <rcc rId="967" sId="19" numFmtId="4">
    <oc r="W20">
      <v>0</v>
    </oc>
    <nc r="W20">
      <v>210.89608000000001</v>
    </nc>
  </rcc>
  <rcc rId="968" sId="19" numFmtId="4">
    <oc r="Y20">
      <v>0</v>
    </oc>
    <nc r="Y20">
      <v>65.975800000000007</v>
    </nc>
  </rcc>
  <rcc rId="969" sId="19" numFmtId="4">
    <oc r="AA20">
      <v>0</v>
    </oc>
    <nc r="AA20">
      <v>78.29853</v>
    </nc>
  </rcc>
  <rcc rId="970" sId="19" numFmtId="4">
    <oc r="AB20">
      <v>535.75160000000005</v>
    </oc>
    <nc r="AB20">
      <v>590.95015999999998</v>
    </nc>
  </rcc>
  <rcc rId="971" sId="19" numFmtId="4">
    <oc r="AC20">
      <v>0</v>
    </oc>
    <nc r="AC20">
      <v>315.14258999999998</v>
    </nc>
  </rcc>
  <rcc rId="972" sId="19" numFmtId="4">
    <oc r="AD20">
      <v>50</v>
    </oc>
    <nc r="AD20">
      <v>66.7</v>
    </nc>
  </rcc>
  <rcc rId="973" sId="19" numFmtId="4">
    <oc r="AF20">
      <v>308.79599999999999</v>
    </oc>
    <nc r="AF20">
      <v>110.837</v>
    </nc>
  </rcc>
  <rfmt sheetId="19" sqref="AG20" start="0" length="0">
    <dxf>
      <fill>
        <patternFill patternType="solid">
          <bgColor theme="0"/>
        </patternFill>
      </fill>
    </dxf>
  </rfmt>
  <rfmt sheetId="19" sqref="J21" start="0" length="0">
    <dxf>
      <fill>
        <patternFill patternType="solid">
          <bgColor theme="0"/>
        </patternFill>
      </fill>
    </dxf>
  </rfmt>
  <rfmt sheetId="19" sqref="K21" start="0" length="0">
    <dxf>
      <fill>
        <patternFill patternType="solid">
          <bgColor theme="0"/>
        </patternFill>
      </fill>
    </dxf>
  </rfmt>
  <rfmt sheetId="19" sqref="L21" start="0" length="0">
    <dxf>
      <fill>
        <patternFill patternType="solid">
          <bgColor theme="0"/>
        </patternFill>
      </fill>
    </dxf>
  </rfmt>
  <rfmt sheetId="19" sqref="M21" start="0" length="0">
    <dxf>
      <fill>
        <patternFill patternType="solid">
          <bgColor theme="0"/>
        </patternFill>
      </fill>
    </dxf>
  </rfmt>
  <rfmt sheetId="19" sqref="N21" start="0" length="0">
    <dxf>
      <fill>
        <patternFill patternType="solid">
          <bgColor theme="0"/>
        </patternFill>
      </fill>
    </dxf>
  </rfmt>
  <rfmt sheetId="19" sqref="O21" start="0" length="0">
    <dxf>
      <fill>
        <patternFill patternType="solid">
          <bgColor theme="0"/>
        </patternFill>
      </fill>
    </dxf>
  </rfmt>
  <rfmt sheetId="19" sqref="P21" start="0" length="0">
    <dxf>
      <fill>
        <patternFill patternType="solid">
          <bgColor theme="0"/>
        </patternFill>
      </fill>
    </dxf>
  </rfmt>
  <rfmt sheetId="19" sqref="Q21" start="0" length="0">
    <dxf>
      <fill>
        <patternFill patternType="solid">
          <bgColor theme="0"/>
        </patternFill>
      </fill>
    </dxf>
  </rfmt>
  <rfmt sheetId="19" sqref="R21" start="0" length="0">
    <dxf>
      <fill>
        <patternFill patternType="solid">
          <bgColor theme="0"/>
        </patternFill>
      </fill>
    </dxf>
  </rfmt>
  <rfmt sheetId="19" sqref="S21" start="0" length="0">
    <dxf>
      <fill>
        <patternFill patternType="solid">
          <bgColor theme="0"/>
        </patternFill>
      </fill>
    </dxf>
  </rfmt>
  <rfmt sheetId="19" sqref="T21" start="0" length="0">
    <dxf>
      <fill>
        <patternFill patternType="solid">
          <bgColor theme="0"/>
        </patternFill>
      </fill>
    </dxf>
  </rfmt>
  <rfmt sheetId="19" sqref="U21" start="0" length="0">
    <dxf>
      <fill>
        <patternFill patternType="solid">
          <bgColor theme="0"/>
        </patternFill>
      </fill>
    </dxf>
  </rfmt>
  <rfmt sheetId="19" sqref="V21" start="0" length="0">
    <dxf>
      <fill>
        <patternFill patternType="solid">
          <bgColor theme="0"/>
        </patternFill>
      </fill>
    </dxf>
  </rfmt>
  <rfmt sheetId="19" sqref="W21" start="0" length="0">
    <dxf>
      <fill>
        <patternFill patternType="solid">
          <bgColor theme="0"/>
        </patternFill>
      </fill>
    </dxf>
  </rfmt>
  <rfmt sheetId="19" sqref="X21" start="0" length="0">
    <dxf>
      <fill>
        <patternFill patternType="solid">
          <bgColor theme="0"/>
        </patternFill>
      </fill>
    </dxf>
  </rfmt>
  <rfmt sheetId="19" sqref="Y21" start="0" length="0">
    <dxf>
      <fill>
        <patternFill patternType="solid">
          <bgColor theme="0"/>
        </patternFill>
      </fill>
    </dxf>
  </rfmt>
  <rfmt sheetId="19" sqref="Z21" start="0" length="0">
    <dxf>
      <fill>
        <patternFill patternType="solid">
          <bgColor theme="0"/>
        </patternFill>
      </fill>
    </dxf>
  </rfmt>
  <rfmt sheetId="19" sqref="AA21" start="0" length="0">
    <dxf>
      <fill>
        <patternFill patternType="solid">
          <bgColor theme="0"/>
        </patternFill>
      </fill>
    </dxf>
  </rfmt>
  <rfmt sheetId="19" sqref="AB21" start="0" length="0">
    <dxf>
      <fill>
        <patternFill patternType="solid">
          <bgColor theme="0"/>
        </patternFill>
      </fill>
    </dxf>
  </rfmt>
  <rfmt sheetId="19" sqref="AC21" start="0" length="0">
    <dxf>
      <fill>
        <patternFill patternType="solid">
          <bgColor theme="0"/>
        </patternFill>
      </fill>
    </dxf>
  </rfmt>
  <rcc rId="974" sId="19" odxf="1" dxf="1" numFmtId="4">
    <oc r="AD21">
      <v>0</v>
    </oc>
    <nc r="AD21">
      <v>78.12</v>
    </nc>
    <odxf>
      <fill>
        <patternFill patternType="none">
          <bgColor indexed="65"/>
        </patternFill>
      </fill>
    </odxf>
    <ndxf>
      <fill>
        <patternFill patternType="solid">
          <bgColor theme="0"/>
        </patternFill>
      </fill>
    </ndxf>
  </rcc>
  <rfmt sheetId="19" sqref="AE21" start="0" length="0">
    <dxf>
      <fill>
        <patternFill patternType="solid">
          <bgColor theme="0"/>
        </patternFill>
      </fill>
    </dxf>
  </rfmt>
  <rfmt sheetId="19" sqref="AF21" start="0" length="0">
    <dxf>
      <fill>
        <patternFill patternType="solid">
          <bgColor theme="0"/>
        </patternFill>
      </fill>
    </dxf>
  </rfmt>
  <rfmt sheetId="19" sqref="AG21" start="0" length="0">
    <dxf>
      <fill>
        <patternFill patternType="solid">
          <bgColor theme="0"/>
        </patternFill>
      </fill>
    </dxf>
  </rfmt>
  <rcc rId="975" sId="19" odxf="1" dxf="1">
    <oc r="J23">
      <f>J24</f>
    </oc>
    <nc r="J23">
      <f>J24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76" sId="19" odxf="1" dxf="1">
    <oc r="K23">
      <f>K24</f>
    </oc>
    <nc r="K23">
      <f>K24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77" sId="19" odxf="1" dxf="1">
    <oc r="L23">
      <f>L24</f>
    </oc>
    <nc r="L23">
      <f>L24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78" sId="19" odxf="1" dxf="1">
    <oc r="M23">
      <f>M24</f>
    </oc>
    <nc r="M23">
      <f>M24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79" sId="19" odxf="1" dxf="1">
    <oc r="N23">
      <f>N24</f>
    </oc>
    <nc r="N23">
      <f>N24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0" sId="19" odxf="1" dxf="1">
    <oc r="O23">
      <f>O24</f>
    </oc>
    <nc r="O23">
      <f>O24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1" sId="19" odxf="1" dxf="1">
    <oc r="P23">
      <f>P24</f>
    </oc>
    <nc r="P23">
      <f>P24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2" sId="19" odxf="1" dxf="1">
    <oc r="Q23">
      <f>Q24</f>
    </oc>
    <nc r="Q23">
      <f>Q24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3" sId="19" odxf="1" dxf="1">
    <oc r="R23">
      <f>R24</f>
    </oc>
    <nc r="R23">
      <f>R24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4" sId="19" odxf="1" dxf="1">
    <oc r="S23">
      <f>S24</f>
    </oc>
    <nc r="S23">
      <f>S24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5" sId="19" odxf="1" dxf="1">
    <oc r="T23">
      <f>T24</f>
    </oc>
    <nc r="T23">
      <f>T24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6" sId="19" odxf="1" dxf="1">
    <oc r="U23">
      <f>U24</f>
    </oc>
    <nc r="U23">
      <f>U24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7" sId="19" odxf="1" dxf="1">
    <oc r="V23">
      <f>V24</f>
    </oc>
    <nc r="V23">
      <f>V24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8" sId="19" odxf="1" dxf="1">
    <oc r="W23">
      <f>W24</f>
    </oc>
    <nc r="W23">
      <f>W24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89" sId="19" odxf="1" dxf="1">
    <oc r="X23">
      <f>X24</f>
    </oc>
    <nc r="X23">
      <f>X24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90" sId="19" odxf="1" dxf="1">
    <oc r="Y23">
      <f>Y24</f>
    </oc>
    <nc r="Y23">
      <f>Y24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91" sId="19" odxf="1" dxf="1">
    <oc r="Z23">
      <f>Z24</f>
    </oc>
    <nc r="Z23">
      <f>Z24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92" sId="19" odxf="1" dxf="1">
    <oc r="AA23">
      <f>AA24</f>
    </oc>
    <nc r="AA23">
      <f>AA24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93" sId="19" odxf="1" dxf="1">
    <oc r="AB23">
      <f>AB24</f>
    </oc>
    <nc r="AB23">
      <f>AB24</f>
    </nc>
    <odxf>
      <font>
        <sz val="12"/>
        <color auto="1"/>
        <name val="Times New Roman"/>
        <scheme val="none"/>
      </font>
      <fill>
        <patternFill patternType="none">
          <bgColor indexed="65"/>
        </patternFill>
      </fill>
    </odxf>
    <ndxf>
      <font>
        <sz val="12"/>
        <color auto="1"/>
        <name val="Times New Roman"/>
        <scheme val="none"/>
      </font>
      <fill>
        <patternFill patternType="solid">
          <bgColor theme="0"/>
        </patternFill>
      </fill>
    </ndxf>
  </rcc>
  <rcc rId="994" sId="19" odxf="1" dxf="1">
    <oc r="AC23">
      <f>AC24</f>
    </oc>
    <nc r="AC23">
      <f>AC24</f>
    </nc>
    <odxf>
      <fill>
        <patternFill patternType="none">
          <bgColor indexed="65"/>
        </patternFill>
      </fill>
    </odxf>
    <ndxf>
      <fill>
        <patternFill patternType="solid">
          <bgColor theme="0"/>
        </patternFill>
      </fill>
    </ndxf>
  </rcc>
  <rcc rId="995" sId="19" odxf="1" dxf="1">
    <oc r="AD23">
      <f>AD24</f>
    </oc>
    <nc r="AD23">
      <f>AD24</f>
    </nc>
    <odxf>
      <fill>
        <patternFill patternType="none">
          <bgColor indexed="65"/>
        </patternFill>
      </fill>
    </odxf>
    <ndxf>
      <fill>
        <patternFill patternType="solid">
          <bgColor theme="0"/>
        </patternFill>
      </fill>
    </ndxf>
  </rcc>
  <rcc rId="996" sId="19" odxf="1" dxf="1">
    <oc r="AE23">
      <f>AE24</f>
    </oc>
    <nc r="AE23">
      <f>AE24</f>
    </nc>
    <odxf>
      <fill>
        <patternFill patternType="none">
          <bgColor indexed="65"/>
        </patternFill>
      </fill>
    </odxf>
    <ndxf>
      <fill>
        <patternFill patternType="solid">
          <bgColor theme="0"/>
        </patternFill>
      </fill>
    </ndxf>
  </rcc>
  <rcc rId="997" sId="19" odxf="1" dxf="1">
    <oc r="AF23">
      <f>AF24</f>
    </oc>
    <nc r="AF23">
      <f>AF24</f>
    </nc>
    <odxf>
      <fill>
        <patternFill patternType="none">
          <bgColor indexed="65"/>
        </patternFill>
      </fill>
    </odxf>
    <ndxf>
      <fill>
        <patternFill patternType="solid">
          <bgColor theme="0"/>
        </patternFill>
      </fill>
    </ndxf>
  </rcc>
  <rcc rId="998" sId="19" odxf="1" dxf="1">
    <oc r="AG23">
      <f>AG24</f>
    </oc>
    <nc r="AG23">
      <f>AG24</f>
    </nc>
    <odxf>
      <fill>
        <patternFill patternType="none">
          <bgColor indexed="65"/>
        </patternFill>
      </fill>
    </odxf>
    <ndxf>
      <fill>
        <patternFill patternType="solid">
          <bgColor theme="0"/>
        </patternFill>
      </fill>
    </ndxf>
  </rcc>
  <rfmt sheetId="19" sqref="J24" start="0" length="0">
    <dxf>
      <font>
        <sz val="12"/>
        <color auto="1"/>
        <name val="Times New Roman"/>
        <scheme val="none"/>
      </font>
    </dxf>
  </rfmt>
  <rfmt sheetId="19" sqref="K24" start="0" length="0">
    <dxf>
      <font>
        <sz val="12"/>
        <color auto="1"/>
        <name val="Times New Roman"/>
        <scheme val="none"/>
      </font>
    </dxf>
  </rfmt>
  <rfmt sheetId="19" sqref="L24" start="0" length="0">
    <dxf>
      <font>
        <sz val="12"/>
        <color auto="1"/>
        <name val="Times New Roman"/>
        <scheme val="none"/>
      </font>
    </dxf>
  </rfmt>
  <rfmt sheetId="19" sqref="M24" start="0" length="0">
    <dxf>
      <font>
        <sz val="12"/>
        <color auto="1"/>
        <name val="Times New Roman"/>
        <scheme val="none"/>
      </font>
    </dxf>
  </rfmt>
  <rfmt sheetId="19" sqref="N24" start="0" length="0">
    <dxf>
      <font>
        <sz val="12"/>
        <color auto="1"/>
        <name val="Times New Roman"/>
        <scheme val="none"/>
      </font>
    </dxf>
  </rfmt>
  <rcc rId="999" sId="19" odxf="1" dxf="1" numFmtId="4">
    <oc r="O24">
      <v>9821.13472</v>
    </oc>
    <nc r="O24">
      <v>9820.1337199999998</v>
    </nc>
    <odxf>
      <font>
        <sz val="12"/>
        <color auto="1"/>
        <name val="Times New Roman"/>
        <scheme val="none"/>
      </font>
    </odxf>
    <ndxf>
      <font>
        <sz val="12"/>
        <color auto="1"/>
        <name val="Times New Roman"/>
        <scheme val="none"/>
      </font>
    </ndxf>
  </rcc>
  <rcc rId="1000" sId="19" odxf="1" dxf="1" numFmtId="4">
    <oc r="P24">
      <v>12331.16624</v>
    </oc>
    <nc r="P24">
      <v>12370.266240000001</v>
    </nc>
    <odxf>
      <font>
        <sz val="12"/>
        <color auto="1"/>
        <name val="Times New Roman"/>
        <scheme val="none"/>
      </font>
    </odxf>
    <ndxf>
      <font>
        <sz val="12"/>
        <color auto="1"/>
        <name val="Times New Roman"/>
        <scheme val="none"/>
      </font>
    </ndxf>
  </rcc>
  <rcc rId="1001" sId="19" odxf="1" dxf="1" numFmtId="4">
    <oc r="Q24">
      <v>0</v>
    </oc>
    <nc r="Q24">
      <v>8989.7078399999991</v>
    </nc>
    <odxf>
      <font>
        <sz val="12"/>
        <color auto="1"/>
        <name val="Times New Roman"/>
        <scheme val="none"/>
      </font>
    </odxf>
    <ndxf>
      <font>
        <sz val="12"/>
        <color auto="1"/>
        <name val="Times New Roman"/>
        <scheme val="none"/>
      </font>
    </ndxf>
  </rcc>
  <rcc rId="1002" sId="19" odxf="1" dxf="1" numFmtId="4">
    <oc r="R24">
      <v>9696.7900000000009</v>
    </oc>
    <nc r="R24">
      <v>10407.286</v>
    </nc>
    <odxf>
      <font>
        <sz val="12"/>
        <color auto="1"/>
        <name val="Times New Roman"/>
        <scheme val="none"/>
      </font>
    </odxf>
    <ndxf>
      <font>
        <sz val="12"/>
        <color auto="1"/>
        <name val="Times New Roman"/>
        <scheme val="none"/>
      </font>
    </ndxf>
  </rcc>
  <rcc rId="1003" sId="19" odxf="1" dxf="1" numFmtId="4">
    <oc r="S24">
      <v>0</v>
    </oc>
    <nc r="S24">
      <v>10470.558940000001</v>
    </nc>
    <odxf>
      <font>
        <sz val="12"/>
        <color auto="1"/>
        <name val="Times New Roman"/>
        <scheme val="none"/>
      </font>
    </odxf>
    <ndxf>
      <font>
        <sz val="12"/>
        <color auto="1"/>
        <name val="Times New Roman"/>
        <scheme val="none"/>
      </font>
    </ndxf>
  </rcc>
  <rcc rId="1004" sId="19" odxf="1" dxf="1" numFmtId="4">
    <oc r="T24">
      <v>7375.3630000000003</v>
    </oc>
    <nc r="T24">
      <v>8216.5519999999997</v>
    </nc>
    <odxf>
      <font>
        <sz val="12"/>
        <color auto="1"/>
        <name val="Times New Roman"/>
        <scheme val="none"/>
      </font>
    </odxf>
    <ndxf>
      <font>
        <sz val="12"/>
        <color auto="1"/>
        <name val="Times New Roman"/>
        <scheme val="none"/>
      </font>
    </ndxf>
  </rcc>
  <rcc rId="1005" sId="19" odxf="1" dxf="1" numFmtId="4">
    <oc r="U24">
      <v>0</v>
    </oc>
    <nc r="U24">
      <v>9882.2743200000004</v>
    </nc>
    <odxf>
      <font>
        <sz val="12"/>
        <color auto="1"/>
        <name val="Times New Roman"/>
        <scheme val="none"/>
      </font>
    </odxf>
    <ndxf>
      <font>
        <sz val="12"/>
        <color auto="1"/>
        <name val="Times New Roman"/>
        <scheme val="none"/>
      </font>
    </ndxf>
  </rcc>
  <rcc rId="1006" sId="19" odxf="1" dxf="1" numFmtId="4">
    <oc r="V24">
      <v>12997.514999999999</v>
    </oc>
    <nc r="V24">
      <v>13570.646000000001</v>
    </nc>
    <odxf>
      <font>
        <sz val="12"/>
        <color auto="1"/>
        <name val="Times New Roman"/>
        <scheme val="none"/>
      </font>
    </odxf>
    <ndxf>
      <font>
        <sz val="12"/>
        <color auto="1"/>
        <name val="Times New Roman"/>
        <scheme val="none"/>
      </font>
    </ndxf>
  </rcc>
  <rcc rId="1007" sId="19" odxf="1" dxf="1" numFmtId="4">
    <oc r="W24">
      <v>0</v>
    </oc>
    <nc r="W24">
      <v>10649.06753</v>
    </nc>
    <odxf>
      <font>
        <sz val="12"/>
        <color auto="1"/>
        <name val="Times New Roman"/>
        <scheme val="none"/>
      </font>
    </odxf>
    <ndxf>
      <font>
        <sz val="12"/>
        <color auto="1"/>
        <name val="Times New Roman"/>
        <scheme val="none"/>
      </font>
    </ndxf>
  </rcc>
  <rcc rId="1008" sId="19" odxf="1" dxf="1" numFmtId="4">
    <oc r="X24">
      <v>9988.0630000000001</v>
    </oc>
    <nc r="X24">
      <v>10001.063</v>
    </nc>
    <odxf>
      <font>
        <sz val="12"/>
        <color auto="1"/>
        <name val="Times New Roman"/>
        <scheme val="none"/>
      </font>
    </odxf>
    <ndxf>
      <font>
        <sz val="12"/>
        <color auto="1"/>
        <name val="Times New Roman"/>
        <scheme val="none"/>
      </font>
    </ndxf>
  </rcc>
  <rcc rId="1009" sId="19" odxf="1" dxf="1" numFmtId="4">
    <oc r="Y24">
      <v>0</v>
    </oc>
    <nc r="Y24">
      <v>8164.5059000000001</v>
    </nc>
    <odxf>
      <font>
        <sz val="12"/>
        <color auto="1"/>
        <name val="Times New Roman"/>
        <scheme val="none"/>
      </font>
    </odxf>
    <ndxf>
      <font>
        <sz val="12"/>
        <color auto="1"/>
        <name val="Times New Roman"/>
        <scheme val="none"/>
      </font>
    </ndxf>
  </rcc>
  <rcc rId="1010" sId="19" odxf="1" dxf="1" numFmtId="4">
    <oc r="Z24">
      <v>7200.07</v>
    </oc>
    <nc r="Z24">
      <v>8268.0120000000006</v>
    </nc>
    <odxf>
      <font>
        <sz val="12"/>
        <color auto="1"/>
        <name val="Times New Roman"/>
        <scheme val="none"/>
      </font>
    </odxf>
    <ndxf>
      <font>
        <sz val="12"/>
        <color auto="1"/>
        <name val="Times New Roman"/>
        <scheme val="none"/>
      </font>
    </ndxf>
  </rcc>
  <rcc rId="1011" sId="19" odxf="1" dxf="1" numFmtId="4">
    <oc r="AA24">
      <v>0</v>
    </oc>
    <nc r="AA24">
      <v>14224.37054</v>
    </nc>
    <odxf>
      <font>
        <sz val="12"/>
        <color auto="1"/>
        <name val="Times New Roman"/>
        <scheme val="none"/>
      </font>
    </odxf>
    <ndxf>
      <font>
        <sz val="12"/>
        <color auto="1"/>
        <name val="Times New Roman"/>
        <scheme val="none"/>
      </font>
    </ndxf>
  </rcc>
  <rcc rId="1012" sId="19" odxf="1" dxf="1" numFmtId="4">
    <oc r="AB24">
      <v>8959.8719999999994</v>
    </oc>
    <nc r="AB24">
      <v>9918.3639999999996</v>
    </nc>
    <odxf>
      <font>
        <sz val="12"/>
        <color auto="1"/>
        <name val="Times New Roman"/>
        <scheme val="none"/>
      </font>
    </odxf>
    <ndxf>
      <font>
        <sz val="12"/>
        <color auto="1"/>
        <name val="Times New Roman"/>
        <scheme val="none"/>
      </font>
    </ndxf>
  </rcc>
  <rcc rId="1013" sId="19" numFmtId="4">
    <oc r="AC24">
      <v>0</v>
    </oc>
    <nc r="AC24">
      <v>9543.6710700000003</v>
    </nc>
  </rcc>
  <rcc rId="1014" sId="19" odxf="1" dxf="1" numFmtId="4">
    <oc r="AD24">
      <v>8171.8649999999998</v>
    </oc>
    <nc r="AD24">
      <v>8766.0938900000001</v>
    </nc>
    <odxf>
      <font>
        <sz val="12"/>
        <color auto="1"/>
        <name val="Times New Roman"/>
        <scheme val="none"/>
      </font>
    </odxf>
    <ndxf>
      <font>
        <sz val="12"/>
        <color auto="1"/>
        <name val="Times New Roman"/>
        <scheme val="none"/>
      </font>
    </ndxf>
  </rcc>
  <rcc rId="1015" sId="19" numFmtId="4">
    <oc r="AF24">
      <v>8912.1149999999998</v>
    </oc>
    <nc r="AF24">
      <v>4950.2039999999997</v>
    </nc>
  </rcc>
  <rcv guid="{5DF2C78B-5EE4-439D-8D72-8D3A913B65F9}" action="delete"/>
  <rdn rId="0" localSheetId="1" customView="1" name="Z_5DF2C78B_5EE4_439D_8D72_8D3A913B65F9_.wvu.Rows" hidden="1" oldHidden="1">
    <formula>'1. РО'!$28:$28,'1. РО'!$32:$32,'1. РО'!$52:$52,'1. РО'!$61:$61,'1. РО'!$73:$73,'1. РО'!$77:$77</formula>
    <oldFormula>'1. РО'!$28:$28,'1. РО'!$32:$32,'1. РО'!$52:$52,'1. РО'!$61:$61,'1. РО'!$73:$73,'1. РО'!$77:$77</oldFormula>
  </rdn>
  <rdn rId="0" localSheetId="4" customView="1" name="Z_5DF2C78B_5EE4_439D_8D72_8D3A913B65F9_.wvu.Rows" hidden="1" oldHidden="1">
    <formula>'4. КП'!$23:$23,'4. КП'!$27:$27,'4. КП'!$68:$68,'4. КП'!$75:$75,'4. КП'!$83:$83,'4. КП'!$87:$88,'4. КП'!$91:$91,'4. КП'!$93:$93</formula>
    <oldFormula>'4. КП'!$23:$23,'4. КП'!$27:$27,'4. КП'!$68:$68,'4. КП'!$75:$75,'4. КП'!$83:$83,'4. КП'!$87:$88,'4. КП'!$91:$91,'4. КП'!$93:$93</oldFormula>
  </rdn>
  <rdn rId="0" localSheetId="5" customView="1" name="Z_5DF2C78B_5EE4_439D_8D72_8D3A913B65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5DF2C78B_5EE4_439D_8D72_8D3A913B65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5DF2C78B_5EE4_439D_8D72_8D3A913B65F9_.wvu.Rows" hidden="1" oldHidden="1">
    <formula>'9. РЖКК'!$14:$14,'9. РЖКК'!$28:$28</formula>
    <oldFormula>'9. РЖКК'!$14:$14,'9. РЖКК'!$28:$28</oldFormula>
  </rdn>
  <rdn rId="0" localSheetId="14" customView="1" name="Z_5DF2C78B_5EE4_439D_8D72_8D3A913B65F9_.wvu.Rows" hidden="1" oldHidden="1">
    <formula>'14. РТС'!$14:$15,'14. РТС'!$19:$19,'14. РТС'!$30:$30,'14. РТС'!$33:$33,'14. РТС'!$36:$36,'14. РТС'!$43:$43</formula>
    <oldFormula>'14. РТС'!$14:$15,'14. РТС'!$19:$19,'14. РТС'!$30:$30,'14. РТС'!$33:$33,'14. РТС'!$36:$36,'14. РТС'!$43:$43</oldFormula>
  </rdn>
  <rdn rId="0" localSheetId="17" customView="1" name="Z_5DF2C78B_5EE4_439D_8D72_8D3A913B65F9_.wvu.PrintTitles" hidden="1" oldHidden="1">
    <formula>'17. УМИ'!$4:$7</formula>
  </rdn>
  <rdn rId="0" localSheetId="20" customView="1" name="Z_5DF2C78B_5EE4_439D_8D72_8D3A913B65F9_.wvu.Rows" hidden="1" oldHidden="1">
    <formula>'20. МСП'!$19:$19</formula>
    <oldFormula>'20. МСП'!$19:$19</oldFormula>
  </rdn>
  <rcv guid="{5DF2C78B-5EE4-439D-8D72-8D3A913B65F9}"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4" sId="19" numFmtId="19">
    <oc r="E6">
      <v>45689</v>
    </oc>
    <nc r="E6">
      <v>45962</v>
    </nc>
  </rcc>
  <rcc rId="1025" sId="19" numFmtId="19">
    <oc r="F6">
      <v>45689</v>
    </oc>
    <nc r="F6">
      <v>45962</v>
    </nc>
  </rcc>
  <rcc rId="1026" sId="19" numFmtId="19">
    <oc r="G6">
      <v>45689</v>
    </oc>
    <nc r="G6">
      <v>45962</v>
    </nc>
  </rcc>
  <rcc rId="1027" sId="19">
    <oc r="E9">
      <f>J9+L9+N9</f>
    </oc>
    <nc r="E9">
      <f>J9+L9+N9+P9+R9+T9+V9+X9+Z9+AB9</f>
    </nc>
  </rcc>
  <rcc rId="1028" sId="19">
    <oc r="E10">
      <f>J10+L10+N10</f>
    </oc>
    <nc r="E10">
      <f>J10+L10+N10+P10+R10+T10+V10+X10+Z10+AB10</f>
    </nc>
  </rcc>
  <rcc rId="1029" sId="19">
    <oc r="E11">
      <f>J11+L11+N11</f>
    </oc>
    <nc r="E11">
      <f>J11+L11+N11+P11+R11+T11+V11+X11+Z11+AB11</f>
    </nc>
  </rcc>
  <rcc rId="1030" sId="19">
    <oc r="E14">
      <f>J14+L14+N14</f>
    </oc>
    <nc r="E14">
      <f>J14+L14+N14+P14+R14+T14+V14+X14+Z14+AB14</f>
    </nc>
  </rcc>
  <rfmt sheetId="19" sqref="E17">
    <dxf>
      <fill>
        <patternFill patternType="solid">
          <bgColor rgb="FFFFFF00"/>
        </patternFill>
      </fill>
    </dxf>
  </rfmt>
  <rcv guid="{5DF2C78B-5EE4-439D-8D72-8D3A913B65F9}" action="delete"/>
  <rdn rId="0" localSheetId="1" customView="1" name="Z_5DF2C78B_5EE4_439D_8D72_8D3A913B65F9_.wvu.Rows" hidden="1" oldHidden="1">
    <formula>'1. РО'!$28:$28,'1. РО'!$32:$32,'1. РО'!$52:$52,'1. РО'!$61:$61,'1. РО'!$73:$73,'1. РО'!$77:$77</formula>
    <oldFormula>'1. РО'!$28:$28,'1. РО'!$32:$32,'1. РО'!$52:$52,'1. РО'!$61:$61,'1. РО'!$73:$73,'1. РО'!$77:$77</oldFormula>
  </rdn>
  <rdn rId="0" localSheetId="4" customView="1" name="Z_5DF2C78B_5EE4_439D_8D72_8D3A913B65F9_.wvu.Rows" hidden="1" oldHidden="1">
    <formula>'4. КП'!$23:$23,'4. КП'!$27:$27,'4. КП'!$68:$68,'4. КП'!$75:$75,'4. КП'!$83:$83,'4. КП'!$87:$88,'4. КП'!$91:$91,'4. КП'!$93:$93</formula>
    <oldFormula>'4. КП'!$23:$23,'4. КП'!$27:$27,'4. КП'!$68:$68,'4. КП'!$75:$75,'4. КП'!$83:$83,'4. КП'!$87:$88,'4. КП'!$91:$91,'4. КП'!$93:$93</oldFormula>
  </rdn>
  <rdn rId="0" localSheetId="5" customView="1" name="Z_5DF2C78B_5EE4_439D_8D72_8D3A913B65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5DF2C78B_5EE4_439D_8D72_8D3A913B65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5DF2C78B_5EE4_439D_8D72_8D3A913B65F9_.wvu.Rows" hidden="1" oldHidden="1">
    <formula>'9. РЖКК'!$14:$14,'9. РЖКК'!$28:$28</formula>
    <oldFormula>'9. РЖКК'!$14:$14,'9. РЖКК'!$28:$28</oldFormula>
  </rdn>
  <rdn rId="0" localSheetId="14" customView="1" name="Z_5DF2C78B_5EE4_439D_8D72_8D3A913B65F9_.wvu.Rows" hidden="1" oldHidden="1">
    <formula>'14. РТС'!$14:$15,'14. РТС'!$19:$19,'14. РТС'!$30:$30,'14. РТС'!$33:$33,'14. РТС'!$36:$36,'14. РТС'!$43:$43</formula>
    <oldFormula>'14. РТС'!$14:$15,'14. РТС'!$19:$19,'14. РТС'!$30:$30,'14. РТС'!$33:$33,'14. РТС'!$36:$36,'14. РТС'!$43:$43</oldFormula>
  </rdn>
  <rdn rId="0" localSheetId="17" customView="1" name="Z_5DF2C78B_5EE4_439D_8D72_8D3A913B65F9_.wvu.PrintTitles" hidden="1" oldHidden="1">
    <formula>'17. УМИ'!$4:$7</formula>
    <oldFormula>'17. УМИ'!$4:$7</oldFormula>
  </rdn>
  <rdn rId="0" localSheetId="20" customView="1" name="Z_5DF2C78B_5EE4_439D_8D72_8D3A913B65F9_.wvu.Rows" hidden="1" oldHidden="1">
    <formula>'20. МСП'!$19:$19</formula>
    <oldFormula>'20. МСП'!$19:$19</oldFormula>
  </rdn>
  <rcv guid="{5DF2C78B-5EE4-439D-8D72-8D3A913B65F9}" action="add"/>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9" sqref="E6:F6" start="0" length="2147483647">
    <dxf>
      <font>
        <color auto="1"/>
      </font>
    </dxf>
  </rfmt>
  <rcc rId="1039" sId="19" odxf="1" dxf="1">
    <oc r="E17">
      <f>J17+L17+N17</f>
    </oc>
    <nc r="E17">
      <f>J17+L17+N17+P17+R17+T17+V17+X17+Z17+AB17</f>
    </nc>
    <ndxf>
      <fill>
        <patternFill patternType="none">
          <bgColor indexed="65"/>
        </patternFill>
      </fill>
    </ndxf>
  </rcc>
  <rcc rId="1040" sId="19">
    <oc r="E19">
      <f>J19+L19+N19</f>
    </oc>
    <nc r="E19">
      <f>J19+L19+N19+P19+R19+T19+V19+X19+Z19+AB19</f>
    </nc>
  </rcc>
  <rcc rId="1041" sId="19">
    <oc r="E20">
      <f>J20+L20+N20</f>
    </oc>
    <nc r="E20">
      <f>J20+L20+N20+P20+R20+T20+V20+X20+Z20+AB20</f>
    </nc>
  </rcc>
  <rcc rId="1042" sId="19">
    <oc r="E21">
      <f>J21</f>
    </oc>
    <nc r="E21">
      <f>J21+L21+N21+P21+R21+T21+V21+X21+Z21+AB21</f>
    </nc>
  </rcc>
  <rcc rId="1043" sId="19">
    <oc r="E24">
      <f>J24+L24+N24</f>
    </oc>
    <nc r="E24">
      <f>J24+L24+N24+P24+R24+T24+V24+X24+Z24+AB24</f>
    </nc>
  </rcc>
  <rfmt sheetId="19" sqref="D16" start="0" length="2147483647">
    <dxf>
      <font>
        <color auto="1"/>
      </font>
    </dxf>
  </rfmt>
  <rfmt sheetId="19" sqref="D13" start="0" length="2147483647">
    <dxf>
      <font>
        <color auto="1"/>
      </font>
    </dxf>
  </rfmt>
  <rcv guid="{5DF2C78B-5EE4-439D-8D72-8D3A913B65F9}" action="delete"/>
  <rdn rId="0" localSheetId="1" customView="1" name="Z_5DF2C78B_5EE4_439D_8D72_8D3A913B65F9_.wvu.Rows" hidden="1" oldHidden="1">
    <formula>'1. РО'!$28:$28,'1. РО'!$32:$32,'1. РО'!$52:$52,'1. РО'!$61:$61,'1. РО'!$73:$73,'1. РО'!$77:$77</formula>
    <oldFormula>'1. РО'!$28:$28,'1. РО'!$32:$32,'1. РО'!$52:$52,'1. РО'!$61:$61,'1. РО'!$73:$73,'1. РО'!$77:$77</oldFormula>
  </rdn>
  <rdn rId="0" localSheetId="4" customView="1" name="Z_5DF2C78B_5EE4_439D_8D72_8D3A913B65F9_.wvu.Rows" hidden="1" oldHidden="1">
    <formula>'4. КП'!$23:$23,'4. КП'!$27:$27,'4. КП'!$68:$68,'4. КП'!$75:$75,'4. КП'!$83:$83,'4. КП'!$87:$88,'4. КП'!$91:$91,'4. КП'!$93:$93</formula>
    <oldFormula>'4. КП'!$23:$23,'4. КП'!$27:$27,'4. КП'!$68:$68,'4. КП'!$75:$75,'4. КП'!$83:$83,'4. КП'!$87:$88,'4. КП'!$91:$91,'4. КП'!$93:$93</oldFormula>
  </rdn>
  <rdn rId="0" localSheetId="5" customView="1" name="Z_5DF2C78B_5EE4_439D_8D72_8D3A913B65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5DF2C78B_5EE4_439D_8D72_8D3A913B65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5DF2C78B_5EE4_439D_8D72_8D3A913B65F9_.wvu.Rows" hidden="1" oldHidden="1">
    <formula>'9. РЖКК'!$14:$14,'9. РЖКК'!$28:$28</formula>
    <oldFormula>'9. РЖКК'!$14:$14,'9. РЖКК'!$28:$28</oldFormula>
  </rdn>
  <rdn rId="0" localSheetId="14" customView="1" name="Z_5DF2C78B_5EE4_439D_8D72_8D3A913B65F9_.wvu.Rows" hidden="1" oldHidden="1">
    <formula>'14. РТС'!$14:$15,'14. РТС'!$19:$19,'14. РТС'!$30:$30,'14. РТС'!$33:$33,'14. РТС'!$36:$36,'14. РТС'!$43:$43</formula>
    <oldFormula>'14. РТС'!$14:$15,'14. РТС'!$19:$19,'14. РТС'!$30:$30,'14. РТС'!$33:$33,'14. РТС'!$36:$36,'14. РТС'!$43:$43</oldFormula>
  </rdn>
  <rdn rId="0" localSheetId="17" customView="1" name="Z_5DF2C78B_5EE4_439D_8D72_8D3A913B65F9_.wvu.PrintTitles" hidden="1" oldHidden="1">
    <formula>'17. УМИ'!$4:$7</formula>
    <oldFormula>'17. УМИ'!$4:$7</oldFormula>
  </rdn>
  <rdn rId="0" localSheetId="20" customView="1" name="Z_5DF2C78B_5EE4_439D_8D72_8D3A913B65F9_.wvu.Rows" hidden="1" oldHidden="1">
    <formula>'20. МСП'!$19:$19</formula>
    <oldFormula>'20. МСП'!$19:$19</oldFormula>
  </rdn>
  <rcv guid="{5DF2C78B-5EE4-439D-8D72-8D3A913B65F9}"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9" s="1" sqref="AH13" start="0" length="0">
    <dxf>
      <font>
        <b val="0"/>
        <sz val="11"/>
        <color theme="1"/>
        <name val="Calibri"/>
        <scheme val="minor"/>
      </font>
      <alignment vertical="bottom" wrapText="0" readingOrder="0"/>
      <border outline="0">
        <left/>
        <right/>
        <top/>
        <bottom/>
      </border>
    </dxf>
  </rfmt>
  <rcc rId="1052" sId="19" xfDxf="1" dxf="1">
    <nc r="AH13" t="inlineStr">
      <is>
        <t>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t>
      </is>
    </nc>
    <ndxf>
      <font>
        <sz val="12"/>
        <name val="Times New Roman"/>
        <scheme val="none"/>
      </font>
    </ndxf>
  </rcc>
  <rfmt sheetId="19" sqref="AH13">
    <dxf>
      <alignment wrapText="1" readingOrder="0"/>
    </dxf>
  </rfmt>
  <rfmt sheetId="19" sqref="AH13" start="0" length="0">
    <dxf>
      <border>
        <left style="thin">
          <color indexed="64"/>
        </left>
        <right style="thin">
          <color indexed="64"/>
        </right>
        <top style="thin">
          <color indexed="64"/>
        </top>
        <bottom style="thin">
          <color indexed="64"/>
        </bottom>
      </border>
    </dxf>
  </rfmt>
  <rfmt sheetId="19" sqref="AH13">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AH13">
    <dxf>
      <alignment horizontal="center" readingOrder="0"/>
    </dxf>
  </rfmt>
  <rfmt sheetId="19" sqref="AH13">
    <dxf>
      <alignment vertical="center" readingOrder="0"/>
    </dxf>
  </rfmt>
  <rfmt sheetId="19" s="1" sqref="AH16" start="0" length="0">
    <dxf>
      <font>
        <b val="0"/>
        <sz val="11"/>
        <color theme="1"/>
        <name val="Calibri"/>
        <scheme val="minor"/>
      </font>
      <alignment vertical="bottom" wrapText="0" readingOrder="0"/>
      <border outline="0">
        <left/>
        <right/>
        <top/>
        <bottom/>
      </border>
    </dxf>
  </rfmt>
  <rfmt sheetId="19" s="1" sqref="AH17" start="0" length="0">
    <dxf>
      <font>
        <sz val="11"/>
        <color theme="1"/>
        <name val="Calibri"/>
        <scheme val="minor"/>
      </font>
      <alignment vertical="bottom" wrapText="0" readingOrder="0"/>
      <border outline="0">
        <left/>
        <right/>
        <top/>
        <bottom/>
      </border>
    </dxf>
  </rfmt>
  <rcc rId="1053" sId="19" xfDxf="1" dxf="1">
    <nc r="AH16" t="inlineStr">
      <is>
        <t>Экономия денежных средств сложилась в связи тем что: 1. Снижена страховая премия по муниципальному контракту на оказание услуг по обязательному страхованию жизни и здоровья муниципальных служащих по итогам проведенного электронного аукциона.</t>
      </is>
    </nc>
    <ndxf>
      <font>
        <sz val="12"/>
        <name val="Times New Roman"/>
        <scheme val="none"/>
      </font>
      <fill>
        <patternFill patternType="solid">
          <bgColor rgb="FFFFFFFF"/>
        </patternFill>
      </fill>
      <alignment horizontal="center" vertical="center" wrapText="1" readingOrder="0"/>
      <border outline="0">
        <left style="medium">
          <color indexed="64"/>
        </left>
        <right style="medium">
          <color indexed="64"/>
        </right>
      </border>
    </ndxf>
  </rcc>
  <rcc rId="1054" sId="19" xfDxf="1" dxf="1">
    <nc r="AH17" t="inlineStr">
      <is>
        <t xml:space="preserve">2. Муниципальные служащие Администрации города Когалыма не в полном объеме воспользовались правом выплаты частичной компенсации  на оплату стоимости проезда к месту отдыха и обратно и  компенсацией стоимости оздоровительных и санаторно-курортных путёвок. </t>
      </is>
    </nc>
    <ndxf>
      <font>
        <sz val="12"/>
        <name val="Times New Roman"/>
        <scheme val="none"/>
      </font>
      <fill>
        <patternFill patternType="solid">
          <bgColor rgb="FFFFFFFF"/>
        </patternFill>
      </fill>
      <alignment horizontal="center" vertical="center" wrapText="1" readingOrder="0"/>
      <border outline="0">
        <left style="medium">
          <color indexed="64"/>
        </left>
        <right style="medium">
          <color indexed="64"/>
        </right>
        <bottom style="medium">
          <color rgb="FF000000"/>
        </bottom>
      </border>
    </ndxf>
  </rcc>
  <rfmt sheetId="19" s="1" sqref="AH18" start="0" length="0">
    <dxf>
      <font>
        <b val="0"/>
        <sz val="11"/>
        <color theme="1"/>
        <name val="Calibri"/>
        <scheme val="minor"/>
      </font>
      <alignment vertical="bottom" wrapText="0" readingOrder="0"/>
      <border outline="0">
        <left/>
        <right/>
        <top/>
        <bottom/>
      </border>
    </dxf>
  </rfmt>
  <rcc rId="1055" sId="19" xfDxf="1" dxf="1">
    <nc r="AH18" t="inlineStr">
      <is>
        <t>Мероприятие предполагает финансовое обеспечение деятельности отдела записи актов гражданского состояния Администрации города Когалыма: - неисполнение по заработной плате и начислениям по оплате труда (оплата произведена согласно фактически отработанного времени)</t>
      </is>
    </nc>
    <ndxf>
      <font>
        <sz val="12"/>
        <name val="Times New Roman"/>
        <scheme val="none"/>
      </font>
    </ndxf>
  </rcc>
  <rfmt sheetId="19" sqref="AH18">
    <dxf>
      <alignment wrapText="1" readingOrder="0"/>
    </dxf>
  </rfmt>
  <rfmt sheetId="19" sqref="AH18">
    <dxf>
      <alignment horizontal="center" readingOrder="0"/>
    </dxf>
  </rfmt>
  <rfmt sheetId="19" sqref="AH18">
    <dxf>
      <alignment vertical="center" readingOrder="0"/>
    </dxf>
  </rfmt>
  <rfmt sheetId="19" sqref="AH17" start="0" length="0">
    <dxf>
      <border>
        <left style="thin">
          <color indexed="64"/>
        </left>
        <right style="thin">
          <color indexed="64"/>
        </right>
        <top style="thin">
          <color indexed="64"/>
        </top>
        <bottom style="thin">
          <color indexed="64"/>
        </bottom>
      </border>
    </dxf>
  </rfmt>
  <rfmt sheetId="19" sqref="AH17">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AH18" start="0" length="0">
    <dxf>
      <border>
        <left style="thin">
          <color indexed="64"/>
        </left>
        <right style="thin">
          <color indexed="64"/>
        </right>
        <top style="thin">
          <color indexed="64"/>
        </top>
        <bottom style="thin">
          <color indexed="64"/>
        </bottom>
      </border>
    </dxf>
  </rfmt>
  <rfmt sheetId="19" sqref="AH18">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1" sqref="AH23" start="0" length="0">
    <dxf>
      <font>
        <b val="0"/>
        <sz val="11"/>
        <color theme="1"/>
        <name val="Calibri"/>
        <scheme val="minor"/>
      </font>
      <alignment vertical="bottom" wrapText="0" readingOrder="0"/>
      <border outline="0">
        <left/>
        <right/>
        <top/>
        <bottom/>
      </border>
    </dxf>
  </rfmt>
  <rcc rId="1056" sId="19" xfDxf="1" dxf="1">
    <nc r="AH23" t="inlineStr">
      <is>
        <t>Мероприятие предполагает финансовое обеспечение деятельности должностных лиц и структурных подразделений Администрации города Когалыма: - неисполнение по заработной плате и начислениям по оплате труда (оплата произведена согласно фактически отработанного времени), наличия вакансий в структурных подразделениях Администрации города Когалыма</t>
      </is>
    </nc>
    <ndxf>
      <font>
        <sz val="12"/>
        <name val="Times New Roman"/>
        <scheme val="none"/>
      </font>
    </ndxf>
  </rcc>
  <rfmt sheetId="19" sqref="AH23">
    <dxf>
      <alignment wrapText="1" readingOrder="0"/>
    </dxf>
  </rfmt>
  <rfmt sheetId="19" sqref="AH23:AH24">
    <dxf>
      <alignment vertical="center" readingOrder="0"/>
    </dxf>
  </rfmt>
  <rfmt sheetId="19" sqref="AH23:AH24">
    <dxf>
      <alignment horizontal="center" readingOrder="0"/>
    </dxf>
  </rfmt>
  <rcv guid="{5DF2C78B-5EE4-439D-8D72-8D3A913B65F9}" action="delete"/>
  <rdn rId="0" localSheetId="1" customView="1" name="Z_5DF2C78B_5EE4_439D_8D72_8D3A913B65F9_.wvu.Rows" hidden="1" oldHidden="1">
    <formula>'1. РО'!$28:$28,'1. РО'!$32:$32,'1. РО'!$52:$52,'1. РО'!$61:$61,'1. РО'!$73:$73,'1. РО'!$77:$77</formula>
    <oldFormula>'1. РО'!$28:$28,'1. РО'!$32:$32,'1. РО'!$52:$52,'1. РО'!$61:$61,'1. РО'!$73:$73,'1. РО'!$77:$77</oldFormula>
  </rdn>
  <rdn rId="0" localSheetId="4" customView="1" name="Z_5DF2C78B_5EE4_439D_8D72_8D3A913B65F9_.wvu.Rows" hidden="1" oldHidden="1">
    <formula>'4. КП'!$23:$23,'4. КП'!$27:$27,'4. КП'!$68:$68,'4. КП'!$75:$75,'4. КП'!$83:$83,'4. КП'!$87:$88,'4. КП'!$91:$91,'4. КП'!$93:$93</formula>
    <oldFormula>'4. КП'!$23:$23,'4. КП'!$27:$27,'4. КП'!$68:$68,'4. КП'!$75:$75,'4. КП'!$83:$83,'4. КП'!$87:$88,'4. КП'!$91:$91,'4. КП'!$93:$93</oldFormula>
  </rdn>
  <rdn rId="0" localSheetId="5" customView="1" name="Z_5DF2C78B_5EE4_439D_8D72_8D3A913B65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5DF2C78B_5EE4_439D_8D72_8D3A913B65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5DF2C78B_5EE4_439D_8D72_8D3A913B65F9_.wvu.Rows" hidden="1" oldHidden="1">
    <formula>'9. РЖКК'!$14:$14,'9. РЖКК'!$28:$28</formula>
    <oldFormula>'9. РЖКК'!$14:$14,'9. РЖКК'!$28:$28</oldFormula>
  </rdn>
  <rdn rId="0" localSheetId="14" customView="1" name="Z_5DF2C78B_5EE4_439D_8D72_8D3A913B65F9_.wvu.Rows" hidden="1" oldHidden="1">
    <formula>'14. РТС'!$14:$15,'14. РТС'!$19:$19,'14. РТС'!$30:$30,'14. РТС'!$33:$33,'14. РТС'!$36:$36,'14. РТС'!$43:$43</formula>
    <oldFormula>'14. РТС'!$14:$15,'14. РТС'!$19:$19,'14. РТС'!$30:$30,'14. РТС'!$33:$33,'14. РТС'!$36:$36,'14. РТС'!$43:$43</oldFormula>
  </rdn>
  <rdn rId="0" localSheetId="17" customView="1" name="Z_5DF2C78B_5EE4_439D_8D72_8D3A913B65F9_.wvu.PrintTitles" hidden="1" oldHidden="1">
    <formula>'17. УМИ'!$4:$7</formula>
    <oldFormula>'17. УМИ'!$4:$7</oldFormula>
  </rdn>
  <rdn rId="0" localSheetId="20" customView="1" name="Z_5DF2C78B_5EE4_439D_8D72_8D3A913B65F9_.wvu.Rows" hidden="1" oldHidden="1">
    <formula>'20. МСП'!$19:$19</formula>
    <oldFormula>'20. МСП'!$19:$19</oldFormula>
  </rdn>
  <rcv guid="{5DF2C78B-5EE4-439D-8D72-8D3A913B65F9}" action="add"/>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5" sId="7">
    <oc r="E15">
      <f>J15+L15+N15+P15+R15+T15+V15+X15+Z15</f>
    </oc>
    <nc r="E15">
      <f>J15+L15+N15+P15+R15+T15+V15+X15+Z15+AB15</f>
    </nc>
  </rcc>
  <rcc rId="1066" sId="7">
    <oc r="E13">
      <f>J13+L13+N13+P13+R13+T13+V13+X13+Z13</f>
    </oc>
    <nc r="E13">
      <f>J13+L13+N13+P13+R13+T13+V13+X13+Z13+AB13</f>
    </nc>
  </rcc>
  <rcc rId="1067" sId="7" numFmtId="19">
    <oc r="E6">
      <v>45931</v>
    </oc>
    <nc r="E6">
      <v>45962</v>
    </nc>
  </rcc>
  <rcc rId="1068" sId="7" numFmtId="19">
    <oc r="F6">
      <v>45931</v>
    </oc>
    <nc r="F6">
      <v>45962</v>
    </nc>
  </rcc>
  <rcc rId="1069" sId="7" numFmtId="19">
    <oc r="G6">
      <v>45931</v>
    </oc>
    <nc r="G6">
      <v>45962</v>
    </nc>
  </rcc>
  <rcv guid="{7C5A2A36-3D69-43D9-9018-A52C27EC78F9}" action="delete"/>
  <rdn rId="0" localSheetId="1" customView="1" name="Z_7C5A2A36_3D69_43D9_9018_A52C27EC78F9_.wvu.Rows" hidden="1" oldHidden="1">
    <formula>'1. РО'!$28:$28,'1. РО'!$32:$32,'1. РО'!$52:$52,'1. РО'!$61:$61,'1. РО'!$73:$73,'1. РО'!$77:$77</formula>
    <oldFormula>'1. РО'!$28:$28,'1. РО'!$32:$32,'1. РО'!$52:$52,'1. РО'!$61:$61,'1. РО'!$73:$73,'1. РО'!$77:$77</oldFormula>
  </rdn>
  <rdn rId="0" localSheetId="4" customView="1" name="Z_7C5A2A36_3D69_43D9_9018_A52C27EC78F9_.wvu.Rows" hidden="1" oldHidden="1">
    <formula>'4. КП'!$23:$23,'4. КП'!$27:$27,'4. КП'!$68:$68,'4. КП'!$75:$75,'4. КП'!$83:$83,'4. КП'!$87:$88,'4. КП'!$91:$91,'4. КП'!$93:$93</formula>
    <oldFormula>'4. КП'!$23:$23,'4. КП'!$27:$27,'4. КП'!$68:$68,'4. КП'!$75:$75,'4. КП'!$83:$83,'4. КП'!$87:$88,'4. КП'!$91:$91,'4. КП'!$93:$93</oldFormula>
  </rdn>
  <rdn rId="0" localSheetId="5" customView="1" name="Z_7C5A2A36_3D69_43D9_9018_A52C27EC78F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7C5A2A36_3D69_43D9_9018_A52C27EC78F9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7C5A2A36_3D69_43D9_9018_A52C27EC78F9_.wvu.Rows" hidden="1" oldHidden="1">
    <formula>'9. РЖКК'!$14:$14,'9. РЖКК'!$28:$28</formula>
    <oldFormula>'9. РЖКК'!$14:$14,'9. РЖКК'!$28:$28</oldFormula>
  </rdn>
  <rdn rId="0" localSheetId="14" customView="1" name="Z_7C5A2A36_3D69_43D9_9018_A52C27EC78F9_.wvu.Rows" hidden="1" oldHidden="1">
    <formula>'14. РТС'!$14:$15,'14. РТС'!$19:$19,'14. РТС'!$30:$30,'14. РТС'!$33:$33,'14. РТС'!$36:$36,'14. РТС'!$43:$43</formula>
    <oldFormula>'14. РТС'!$14:$15,'14. РТС'!$19:$19,'14. РТС'!$30:$30,'14. РТС'!$33:$33,'14. РТС'!$36:$36,'14. РТС'!$43:$43</oldFormula>
  </rdn>
  <rdn rId="0" localSheetId="17" customView="1" name="Z_7C5A2A36_3D69_43D9_9018_A52C27EC78F9_.wvu.PrintTitles" hidden="1" oldHidden="1">
    <formula>'17. УМИ'!$4:$7</formula>
    <oldFormula>'17. УМИ'!$4:$7</oldFormula>
  </rdn>
  <rdn rId="0" localSheetId="20" customView="1" name="Z_7C5A2A36_3D69_43D9_9018_A52C27EC78F9_.wvu.Rows" hidden="1" oldHidden="1">
    <formula>'20. МСП'!$19:$19</formula>
    <oldFormula>'20. МСП'!$19:$19</oldFormula>
  </rdn>
  <rcv guid="{7C5A2A36-3D69-43D9-9018-A52C27EC78F9}" action="add"/>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78" sId="18" numFmtId="19">
    <oc r="E6">
      <v>45931</v>
    </oc>
    <nc r="E6">
      <v>45962</v>
    </nc>
  </rcc>
  <rcc rId="1079" sId="18" numFmtId="19">
    <oc r="F6">
      <v>45931</v>
    </oc>
    <nc r="F6">
      <v>45962</v>
    </nc>
  </rcc>
  <rcc rId="1080" sId="18" numFmtId="19">
    <oc r="G6">
      <v>45931</v>
    </oc>
    <nc r="G6">
      <v>45962</v>
    </nc>
  </rcc>
  <rcv guid="{133BB3F8-8DD4-4AEF-8CD6-A5FB14681329}" action="delete"/>
  <rdn rId="0" localSheetId="1" customView="1" name="Z_133BB3F8_8DD4_4AEF_8CD6_A5FB14681329_.wvu.Rows" hidden="1" oldHidden="1">
    <formula>'1. РО'!$28:$28,'1. РО'!$32:$32,'1. РО'!$52:$52,'1. РО'!$61:$61,'1. РО'!$73:$73,'1. РО'!$77:$77</formula>
    <oldFormula>'1. РО'!$28:$28,'1. РО'!$32:$32,'1. РО'!$52:$52,'1. РО'!$61:$61,'1. РО'!$73:$73,'1. РО'!$77:$77</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17" customView="1" name="Z_133BB3F8_8DD4_4AEF_8CD6_A5FB14681329_.wvu.PrintTitles" hidden="1" oldHidden="1">
    <formula>'17. УМИ'!$4:$7</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9" sId="18" numFmtId="4">
    <oc r="AC25">
      <v>0</v>
    </oc>
    <nc r="AC25">
      <v>5</v>
    </nc>
  </rcc>
  <rcc rId="1090" sId="18">
    <nc r="AH25" t="inlineStr">
      <is>
        <t>Благодарности, ручки, флаги, грамоты-СОШ №10</t>
      </is>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1" sId="18" numFmtId="4">
    <oc r="AC25">
      <v>5</v>
    </oc>
    <nc r="AC25">
      <v>11</v>
    </nc>
  </rcc>
  <rcc rId="1092" sId="18">
    <oc r="AH25" t="inlineStr">
      <is>
        <t>Благодарности, ручки, флаги, грамоты-СОШ №10</t>
      </is>
    </oc>
    <nc r="AH25" t="inlineStr">
      <is>
        <t>Благодарности, ручки, флаги, грамоты-СОШ №10, СОШ №5</t>
      </is>
    </nc>
  </rcc>
  <rcc rId="1093" sId="18">
    <oc r="E9">
      <f>J9+L9+N9+P9+R9+T9+V9+X9+Z9</f>
    </oc>
    <nc r="E9">
      <f>J9+L9+N9+P9+R9+T9+V9+X9+Z9+AB9</f>
    </nc>
  </rcc>
  <rcc rId="1094" sId="18">
    <oc r="F9">
      <f>SUM(J9+L9+N9+P9+R9+T9+X9+Z9)</f>
    </oc>
    <nc r="F9">
      <f>SUM(J9+L9+N9+P9+R9+T9+X9+Z9+AB9)</f>
    </nc>
  </rcc>
  <rcc rId="1095" sId="18">
    <oc r="E25">
      <f>J25+L25+N25+P25+R25+T25+V25+X25+Z25</f>
    </oc>
    <nc r="E25">
      <f>J25+L25+N25+P25+R25+T25+V25+X25+Z25+AB25</f>
    </nc>
  </rcc>
  <rcc rId="1096" sId="18">
    <oc r="E30">
      <f>J30+L30+N30+P30+R30+T30+V30+X30+Z30</f>
    </oc>
    <nc r="E30">
      <f>J30+L30+N30+P30+R30+T30+V30+X30+Z30+AB30</f>
    </nc>
  </rcc>
  <rcc rId="1097" sId="18">
    <oc r="E27">
      <f>J27+L27+N27+P27+R27+T27+V27+X27+Z27</f>
    </oc>
    <nc r="E27">
      <f>J27+L27+N27+P27+R27+T27+V27+X27+Z27+AB27</f>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8" sId="4" numFmtId="4">
    <oc r="AA59">
      <v>0</v>
    </oc>
    <nc r="AA59">
      <v>10190.243</v>
    </nc>
  </rcc>
  <rcc rId="1099" sId="4" numFmtId="4">
    <oc r="AA60">
      <v>0</v>
    </oc>
    <nc r="AA60">
      <v>1235.5239999999999</v>
    </nc>
  </rcc>
  <rcc rId="1100" sId="4" numFmtId="4">
    <oc r="AC59">
      <v>0</v>
    </oc>
    <nc r="AC59">
      <v>13656.109</v>
    </nc>
  </rcc>
  <rcc rId="1101" sId="4" numFmtId="4">
    <oc r="AC60">
      <v>0</v>
    </oc>
    <nc r="AC60">
      <v>1461.0329999999999</v>
    </nc>
  </rcc>
  <rcc rId="1102" sId="4" odxf="1" dxf="1">
    <oc r="AH60" t="inlineStr">
      <is>
        <t>Отклонение - 4761,996 тыс. руб., в том числе: 1157,424 тыс. руб. - оплата труда, 10,0 тыс. руб.  - материальная помощь к юбилейной дате, 69,952тыс. руб. - суточные, проезд, проживание при служ. командировках,  355,522тыс. руб. - начисление на оплату труда, 5,926тыс. руб. - услуги связи, 13,700 тыс. руб. - транспортные услуги, 377,714 тыс. руб. - коммунальные платежи, 14,219 - дезинсекция, дератизация в МЦ "Метро", 100,0 тыс. руб. - предусмотрено на стирку скатертей, 106,435 тыс. руб. - техническое обсуживание системы видеонаблюдения и кассовых аппаратов, 372,785 тыс. руб. - текущий ремонт, 74,75 тыс. руб. - предусмотрены договоры ГПХ на мойку посуды, 23,848 тыс. руб. - санитарно-эпидемиологическое обследование баров, 874,457 тыс. руб. -прочие расходы, 28,19 тыс. руб.- приобретение основных средств,   702,473 тыс. руб.- продукты питания, 175,764 тыс. руб. - прочие приобретения и призы, 298,837тыс. руб. - оплата налогов.</t>
      </is>
    </oc>
    <nc r="AH60" t="inlineStr">
      <is>
        <t>Отклонение - 5461,881 тыс. руб., в том числе: 1907,424 тыс. руб. - оплата труда, 10,0 тыс. руб.  - материальная помощь к юбилейной дате, 78,016тыс. руб. - суточные, проезд, проживание при служ. командировках,  582,022тыс. руб. - начисление на оплату труда,7,515тыс. руб. - услуги связи, 18,700 тыс. руб. - транспортные услуги, 282,108 тыс. руб. - коммунальные платежи, 35,663 - дезинсекция, дератизация в МЦ "Метро", 100,0 тыс. руб. - предусмотрено на стирку скатертей, 111,696 тыс. руб. - техническое обсуживание системы видеонаблюдения и кассовых аппаратов, 190,827 тыс. руб. - текущий ремонт, 69,748 тыс. руб. - предусмотрены договоры ГПХ на мойку посуды, 44,197 тыс. руб. - санитарно-эпидемиологическое обследование баров, 1040,995 тыс. руб. -прочие расходы, 28,19 тыс. руб.- приобретение основных средств, 340,768 тыс. руб.- продукты питания, 311,764 тыс. руб. - прочие приобретения и призы, 302,248тыс. руб. - оплата налогов.</t>
      </is>
    </nc>
    <odxf>
      <font>
        <sz val="12"/>
        <color auto="1"/>
        <name val="Times New Roman"/>
        <scheme val="none"/>
      </font>
      <border outline="0">
        <bottom style="thin">
          <color indexed="64"/>
        </bottom>
      </border>
    </odxf>
    <ndxf>
      <font>
        <sz val="14"/>
        <color auto="1"/>
        <name val="Times New Roman"/>
        <scheme val="none"/>
      </font>
      <border outline="0">
        <bottom/>
      </border>
    </ndxf>
  </rcc>
  <rfmt sheetId="4" sqref="AH60" start="0" length="2147483647">
    <dxf>
      <font>
        <sz val="12"/>
      </font>
    </dxf>
  </rfmt>
  <rcc rId="1103" sId="4">
    <oc r="AH59" t="inlineStr">
      <is>
        <t>Отклонение - 12032,148 тыс. руб., в том числе 6392,285 тыс. руб. - заработная плата, 19,219 тыс. руб. - оплата 3-х дней больничного за счет средств работодателя, 68,222 тыс. руб. -соц. выплата в связи с выходом на пенсию, 6,812 тыс. руб. - медосмотр при приеме на работу, 1746,055 тыс. руб. - начисление на выплаты по оплате труда, 91,705тыс. руб. - услуги связи, 0,289 тыс. руб. - транспортные расходы, 23,781тыс. руб. - механизированная уборка и вывоз снега; 295,692 тыс. руб. -  техническое обслуживание зданий, 59,117 тыс. руб. - противопожарное обслуживание, 50,0 тыс. руб. - обследование помещений в рамках производственного контроля,  584,737тыс. руб. - услуги охраны, 1,915 тыс. руб. - оплата аренды земли под складом,  643,748тыс.  - теплоснабжение, 552,553 тыс. руб. - энергоснабжение; 8,296тыс. руб. - водопотребление, 699,729 тыс. руб. - налоги, 501,013 тыс руб. - содержание объекта благоустройства Набережная реки Ингу-Ягун., 188,980 тыс. руб. - оплата льготного проезда, 98,0 тыс. руб. - оплата путевок.</t>
      </is>
    </oc>
    <nc r="AH59" t="inlineStr">
      <is>
        <t>Отклонение - 13047,971 тыс. руб., в том числе 7215,310 тыс. руб. - заработная плата,  31,005 тыс. руб. - оплата 3-х дней больничного за счет средств работодателя, 6,812 тыс. руб. - медосмотр при приеме на работу, 2158,687 тыс. руб. - начисление на выплаты по оплате труда, 113,299тыс. руб. - услуги связи, 0,355 тыс. руб. - транспортные расходы, 53,984тыс. руб. - механизированная уборка и вывоз снега; 351,424 тыс. руб. -  техническое обслуживание зданий, 71,201 тыс. руб. - противопожарное обслуживание, 58,077 тыс. руб. - обследование помещений в рамках производственного контроля,  8,000тыс.руб.-обслуживание УРМ,  116,888 тыс. руб. - анализ сточных вод, 394,318 тыс. руб. - услуги охраны, 0,873 тыс. руб. - оплата аренды земли под складом,  732,823 тыс. руб. - теплоснабжение, 423,160 тыс. руб. - энергоснабжение; 9,501тыс. руб. - водопотребление,  609,171 тыс. руб. - налоги, 393,485 тыс руб. - содержание объекта благоустройства Набережная реки Ингу-Ягун., 6,521 тыс. руб. - оплата льготного проезда, 185,0 тыс. руб. - оплата путевок, 108,077тыс.руб.-экономия по разработке проектно-сметной документации на утепление фасада МЦ "Метро"</t>
      </is>
    </nc>
  </rcc>
  <rcc rId="1104" sId="4">
    <oc r="AH61" t="inlineStr">
      <is>
        <t>Отклонение -3295,186 тыс.руб. - в том числе: 121,360 тыс. руб. - расходы в рамках участия в конкурсах-фестивалях не выплачивались в связи с переносом конкурса, 77,805 тыс. руб. - транспортные услуги в рамках новогодних мероприятий не оказывались, документы на транспортные услуги в рамках Дня Победы не предоставлялись, 10,0 тыс. руб. - стирка костюмов, 20,792 тыс. руб.   -  оплата за участие в конкурсе-фестивале не производилась (перенос конкурса на более поздние сроки), 103,0 тыс. руб. - оплата за установку сцены и подключение электроэнергии не производилась,  115,600 руб. - поставка картриджей в рамках Дня города, 33,497 тыс. руб. -оплата за прочие расходы в рамках Дня города, 3,126 тыс. руб. - документы на потребление электроэнергии Снежного городка предоставлены на меньшую сумму, 43,0 тыс. руб. - аренда палаток на мер "День города", 47,940 тыс. руб. - содержание в чистоте туалетных кабинок в рамках Дня города,  2548,960 - прочие расходы в рамках Дня города, туристического слета в этнодеревне, 4,506 тыс. руб. - оплата по мастер-классам в рамках проведения мер. "Юнтагор" сложилась ниже, 165,600 руб. - баннерная продукция в рамках Дня города Когалыма</t>
      </is>
    </oc>
    <nc r="AH61">
      <f>'N:\УК\- ОТДЕЛ КУЛЬТУРЫ -\СЕТЕВЫЕ ГРАФИКИ И ТЕХЗАДАНИЯ\2025\Культурное пространство\1. АРТ\10. октябрь\[Сетевые графики на 01.11.2025.xlsx]разв.кул.'!$AF$18</f>
    </nc>
  </rcc>
  <rcc rId="1105" sId="4" numFmtId="4">
    <oc r="AC61">
      <f>AC62</f>
    </oc>
    <nc r="AC61">
      <f>AC62</f>
    </nc>
  </rcc>
  <rcc rId="1106" sId="4" numFmtId="4">
    <oc r="AC62">
      <v>0</v>
    </oc>
    <nc r="AC62">
      <f>'N:\УК\- ОТДЕЛ КУЛЬТУРЫ -\СЕТЕВЫЕ ГРАФИКИ И ТЕХЗАДАНИЯ\2025\Культурное пространство\1. АРТ\10. октябрь\[Сетевые графики на 01.11.2025.xlsx]разв.кул.'!$AA$21</f>
    </nc>
  </rcc>
  <rcc rId="1107" sId="4">
    <oc r="AH65" t="inlineStr">
      <is>
        <t>АРТ - Отклонение 58719,721 тыс.руб., в том числе: 43 825,870 тыс. руб.  - на проведение юбилейных мероприятий (НК "ЛУКОЙЛ"), 703,561 тыс. руб. - экономия по монтажу-демонтажу сцены на выпускной бал "Белая ночь" и фестиваль "Фолк-фест Когалым" , 18,690 тыс. руб. - экономия по мастер-классам на мер. "Юнтагор", 10399,692 тыс. руб. -70% по праздничному мероприятию; 179,261 тыс. руб. - 30% по встрече гостей  аэропорту; 24,423 тыс. руб. - экономия по шатрам, столам; 70,0 тыс. руб. костюмы "Юнтагор", 2964,105 - консоли светодиодные, 354,601 тыс. руб. - ростовые куклы.                                                  МВЦ - Остаток средств в сумме 2012,547 т.руб.- в т.ч. транспортные расходы - 150,0 руб.,   содержание - 21,0 т.руб., прочие услуги -1841,547 т.руб., ., оплата по факту на основании документов на оплату,  товарных накладных и акта выполненных работ, средства будут использованы в сентябре.</t>
      </is>
    </oc>
    <nc r="AH65" t="inlineStr">
      <is>
        <r>
          <rPr>
            <b/>
            <sz val="12"/>
            <rFont val="Times New Roman"/>
            <family val="1"/>
            <charset val="204"/>
          </rPr>
          <t>АРТ</t>
        </r>
        <r>
          <rPr>
            <sz val="12"/>
            <rFont val="Times New Roman"/>
            <family val="1"/>
            <charset val="204"/>
          </rPr>
          <t xml:space="preserve"> - Отклонение 9086,285 тыс.руб., в том числе: 6633,439 тыс. руб.  - на проведение юбилейных мероприятий (НК "ЛУКОЙЛ"), 1500,271 тыс.руб.-текущий ремонт помещений к праздничному мероприятию в КСК "Ягун", 63,303 тыс. руб. - экономия по монтажу-демонтажу сцены на выпускной бал "Белая ночь" и фестиваль "Фолк-фест Когалым" , 18,690 тыс. руб. - экономия по мастер-классам на мер. "Юнтагор", 133,266 тыс. руб. -экономия по охране на мероприятие "День города"; 640,188 тыс. руб. - подиум; 24,423 тыс. руб. - экономия по шатрам, столам;,  0,105 - консоли светодиодные, 72,600тыс. руб. - ростовые куклы.              </t>
        </r>
        <r>
          <rPr>
            <b/>
            <sz val="12"/>
            <rFont val="Times New Roman"/>
            <family val="1"/>
            <charset val="204"/>
          </rPr>
          <t xml:space="preserve">МВЦ </t>
        </r>
        <r>
          <rPr>
            <sz val="12"/>
            <rFont val="Times New Roman"/>
            <family val="1"/>
            <charset val="204"/>
          </rPr>
          <t>- Остаток средств в сумме 2012,547 т.руб.- в т.ч. транспортные расходы - 150,0 руб.,   содержание - 21,0 т.руб., прочие услуги -1841,547 т.руб., ., оплата по факту на основании документов на оплату,  товарных накладных и акта выполненных работ, средства будут использованы в сентябре.</t>
        </r>
      </is>
    </nc>
  </rcc>
  <rcc rId="1108" sId="4">
    <oc r="AH76" t="inlineStr">
      <is>
        <t>АРТ - Отклонение 6803,036 тыс.руб. - сборно-разборный сценический комплекс поступил в нерабочем состоянии.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oc>
    <nc r="AH76" t="inlineStr">
      <is>
        <r>
          <rPr>
            <b/>
            <sz val="12"/>
            <rFont val="Times New Roman"/>
            <family val="1"/>
            <charset val="204"/>
          </rPr>
          <t>АРТ</t>
        </r>
        <r>
          <rPr>
            <sz val="12"/>
            <rFont val="Times New Roman"/>
            <family val="1"/>
            <charset val="204"/>
          </rPr>
          <t xml:space="preserve"> - Отклонение 9459,189тыс.руб., 6600,900 - сборно-разборный сценический комплекс поступил в нерабочем состоянии., 546,704тыс.руб. - сценические костюмы - нет закрывающих документов, 2036,200 руб. - новогодняя ель, комплект светодиодных украшений, 220,0 тыс. руб. - новогодние игрушки на ель, 55,385 тыс. руб. - экономия по закупочным процедурам      </t>
        </r>
        <r>
          <rPr>
            <b/>
            <sz val="12"/>
            <rFont val="Times New Roman"/>
            <family val="1"/>
            <charset val="204"/>
          </rPr>
          <t>МВЦ</t>
        </r>
        <r>
          <rPr>
            <sz val="12"/>
            <rFont val="Times New Roman"/>
            <family val="1"/>
            <charset val="204"/>
          </rPr>
          <t xml:space="preserve">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r>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24:B26" start="0" length="2147483647">
    <dxf>
      <font>
        <color auto="1"/>
      </font>
    </dxf>
  </rfmt>
  <rcc rId="64" sId="8">
    <oc r="AH24" t="inlineStr">
      <is>
        <r>
          <rPr>
            <b/>
            <sz val="12"/>
            <rFont val="Times New Roman"/>
            <family val="1"/>
            <charset val="204"/>
          </rPr>
          <t>КУМИ</t>
        </r>
        <r>
          <rPr>
            <sz val="12"/>
            <rFont val="Times New Roman"/>
            <family val="1"/>
            <charset val="204"/>
          </rPr>
          <t xml:space="preserve">
 По состоянию на отчетную дату:
- осуществлена выплата гражданам, в чьей собственности находилось жилое помещение, входящее в аварийный жилищный фонд, по адресу: г.Когалым ул.Фестивальная д.28, кв.19  в сумме 500,0 тыс.руб.;
- приобретено 5 жилых помещений общей площадью 165,1кв.м на сумму 17522,34тыс.руб. </t>
        </r>
      </is>
    </oc>
    <nc r="AH24" t="inlineStr">
      <is>
        <r>
          <rPr>
            <b/>
            <sz val="12"/>
            <rFont val="Times New Roman"/>
            <family val="1"/>
            <charset val="204"/>
          </rPr>
          <t>КУМИ</t>
        </r>
        <r>
          <rPr>
            <sz val="12"/>
            <rFont val="Times New Roman"/>
            <family val="1"/>
            <charset val="204"/>
          </rPr>
          <t xml:space="preserve">
 По состоянию на отчетную дату:
- осуществлена выплата гражданам, в чьей собственности находилось жилое помещение, входящее в аварийный жилищный фонд, по адресу: г.Когалым ул.Фестивальная д.28, кв.19  в сумме 500,0 тыс.руб.;
- приобретено 6 жилых помещений общей площадью 200,2 кв.м на сумму 21 145,645 тыс.руб. </t>
        </r>
      </is>
    </nc>
  </rcc>
  <rcc rId="65" sId="8" numFmtId="4">
    <oc r="Y25">
      <v>0</v>
    </oc>
    <nc r="Y25">
      <v>3297.21</v>
    </nc>
  </rcc>
  <rcc rId="66" sId="8" numFmtId="4">
    <oc r="W26">
      <v>0</v>
    </oc>
    <nc r="W26">
      <v>326.10000000000002</v>
    </nc>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3BB3F8-8DD4-4AEF-8CD6-A5FB14681329}" action="delete"/>
  <rdn rId="0" localSheetId="1" customView="1" name="Z_133BB3F8_8DD4_4AEF_8CD6_A5FB14681329_.wvu.Rows" hidden="1" oldHidden="1">
    <formula>'1. РО'!$28:$28,'1. РО'!$32:$32,'1. РО'!$52:$52,'1. РО'!$61:$61,'1. РО'!$73:$73,'1. РО'!$77:$77</formula>
    <oldFormula>'1. РО'!$28:$28,'1. РО'!$32:$32,'1. РО'!$52:$52,'1. РО'!$61:$61,'1. РО'!$73:$73,'1. РО'!$77:$77</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17" customView="1" name="Z_133BB3F8_8DD4_4AEF_8CD6_A5FB14681329_.wvu.PrintTitles" hidden="1" oldHidden="1">
    <formula>'17. УМИ'!$4:$7</formula>
    <oldFormula>'17. УМИ'!$4:$7</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3BB3F8-8DD4-4AEF-8CD6-A5FB14681329}" action="delete"/>
  <rdn rId="0" localSheetId="1" customView="1" name="Z_133BB3F8_8DD4_4AEF_8CD6_A5FB14681329_.wvu.Rows" hidden="1" oldHidden="1">
    <formula>'1. РО'!$28:$28,'1. РО'!$32:$32,'1. РО'!$52:$52,'1. РО'!$61:$61,'1. РО'!$73:$73,'1. РО'!$77:$77</formula>
    <oldFormula>'1. РО'!$28:$28,'1. РО'!$32:$32,'1. РО'!$52:$52,'1. РО'!$61:$61,'1. РО'!$73:$73,'1. РО'!$77:$77</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17" customView="1" name="Z_133BB3F8_8DD4_4AEF_8CD6_A5FB14681329_.wvu.PrintTitles" hidden="1" oldHidden="1">
    <formula>'17. УМИ'!$4:$7</formula>
    <oldFormula>'17. УМИ'!$4:$7</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 sId="8" numFmtId="4">
    <oc r="Y22">
      <v>0</v>
    </oc>
    <nc r="Y22">
      <v>243.65</v>
    </nc>
  </rcc>
  <rcc rId="68" sId="8" numFmtId="4">
    <oc r="Y23">
      <v>0</v>
    </oc>
    <nc r="Y23">
      <v>24.1</v>
    </nc>
  </rcc>
  <rcc rId="69" sId="8" numFmtId="4">
    <oc r="Y52">
      <v>0</v>
    </oc>
    <nc r="Y52">
      <v>505.92</v>
    </nc>
  </rcc>
  <rfmt sheetId="8" sqref="B51:B52" start="0" length="2147483647">
    <dxf>
      <font>
        <color auto="1"/>
      </font>
    </dxf>
  </rfmt>
  <rcc rId="70" sId="8" numFmtId="4">
    <oc r="X22">
      <v>0</v>
    </oc>
    <nc r="X22">
      <v>243.65</v>
    </nc>
  </rcc>
  <rcc rId="71" sId="8" numFmtId="4">
    <oc r="X23">
      <v>0</v>
    </oc>
    <nc r="X23">
      <v>24.1</v>
    </nc>
  </rcc>
  <rcc rId="72" sId="8" numFmtId="4">
    <oc r="AB23">
      <v>425.1</v>
    </oc>
    <nc r="AB23">
      <f>425.1+490</f>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8" numFmtId="19">
    <oc r="E6">
      <v>45901</v>
    </oc>
    <nc r="E6">
      <v>45931</v>
    </nc>
  </rcc>
  <rcc rId="74" sId="8" numFmtId="19">
    <oc r="F6">
      <v>45901</v>
    </oc>
    <nc r="F6">
      <v>45931</v>
    </nc>
  </rcc>
  <rcc rId="75" sId="8" numFmtId="19">
    <oc r="G6">
      <v>45901</v>
    </oc>
    <nc r="G6">
      <v>45931</v>
    </nc>
  </rcc>
  <rcc rId="76" sId="8">
    <oc r="E9">
      <f>J9+L9+N9+P9+R9+T9+V9+X9</f>
    </oc>
    <nc r="E9">
      <f>J9+L9+N9+P9+R9+T9+V9+X9+Z9</f>
    </nc>
  </rcc>
  <rcc rId="77" sId="8">
    <oc r="E10">
      <f>J10+L10+N10+P10+R10+T10+V10+X10</f>
    </oc>
    <nc r="E10">
      <f>J10+L10+N10+P10+R10+T10+V10+X10+Z10</f>
    </nc>
  </rcc>
  <rcc rId="78" sId="8">
    <oc r="E11">
      <f>J11+L11+N11+P11+R11+T11+V11+X11</f>
    </oc>
    <nc r="E11">
      <f>J11+L11+N11+P11+R11+T11+V11+X11+Z11</f>
    </nc>
  </rcc>
  <rcc rId="79" sId="8">
    <oc r="E14">
      <f>J14+L14+N14+P14+R14+T14+V14+X14</f>
    </oc>
    <nc r="E14">
      <f>J14+L14+N14+P14+R14+T14+V14+X14+Z14</f>
    </nc>
  </rcc>
  <rcc rId="80" sId="8">
    <oc r="E15">
      <f>J15+L15+N15+P15+R15+T15+V15+X15</f>
    </oc>
    <nc r="E15">
      <f>J15+L15+N15+P15+R15+T15+V15+X15+Z15</f>
    </nc>
  </rcc>
  <rcc rId="81" sId="8">
    <oc r="E16">
      <f>J16+L16+N16+P16+R16+T16+V16+X16</f>
    </oc>
    <nc r="E16">
      <f>J16+L16+N16+P16+R16+T16+V16+X16+Z16</f>
    </nc>
  </rcc>
  <rcc rId="82" sId="8">
    <oc r="E19">
      <f>J19+L19+N19+P19+R19+T19+V19+X19</f>
    </oc>
    <nc r="E19">
      <f>J19+L19+N19+P19+R19+T19+V19+X19+Z19</f>
    </nc>
  </rcc>
  <rcc rId="83" sId="8">
    <oc r="E20">
      <f>J20+L20+N20+P20+R20+T20+V20+X20</f>
    </oc>
    <nc r="E20">
      <f>J20+L20+N20+P20+R20+T20+V20+X20+Z20</f>
    </nc>
  </rcc>
  <rcc rId="84" sId="8">
    <oc r="E22">
      <f>J22+L22+N22+P22+R22+T22+V22+X22</f>
    </oc>
    <nc r="E22">
      <f>J22+L22+N22+P22+R22+T22+V22+X22+Z22</f>
    </nc>
  </rcc>
  <rcc rId="85" sId="8">
    <oc r="E23">
      <f>J23+L23+N23+P23+R23+T23+V23+X23</f>
    </oc>
    <nc r="E23">
      <f>J23+L23+N23+P23+R23+T23+V23+X23+Z23</f>
    </nc>
  </rcc>
  <rcc rId="86" sId="8">
    <oc r="E25">
      <f>J25+L25+N25+P25+R25+T25+V25+X25</f>
    </oc>
    <nc r="E25">
      <f>J25+L25+N25+P25+R25+T25+V25+X25+Z25</f>
    </nc>
  </rcc>
  <rcc rId="87" sId="8">
    <oc r="E26">
      <f>J26+L26+N26+P26+R26+T26+V26+X26</f>
    </oc>
    <nc r="E26">
      <f>J26+L26+N26+P26+R26+T26+V26+X26+Z26</f>
    </nc>
  </rcc>
  <rcc rId="88" sId="8">
    <oc r="E28">
      <f>J28+L28+N28+P28+R28+T28+V28+X28</f>
    </oc>
    <nc r="E28">
      <f>J28+L28+N28+P28+R28+T28+V28+X28+Z28</f>
    </nc>
  </rcc>
  <rcc rId="89" sId="8">
    <oc r="E29">
      <f>J29+L29+N29+P29+R29+T29+V29+X29</f>
    </oc>
    <nc r="E29">
      <f>J29+L29+N29+P29+R29+T29+V29+X29+Z29</f>
    </nc>
  </rcc>
  <rcc rId="90" sId="8">
    <oc r="E31">
      <f>J31+L31+N31+P31+R31+T31+V31+X31</f>
    </oc>
    <nc r="E31">
      <f>J31+L31+N31+P31+R31+T31+V31+X31+Z31</f>
    </nc>
  </rcc>
  <rcc rId="91" sId="8">
    <oc r="E32">
      <f>J32+L32+N32+P32+R32+T32+V32+X32</f>
    </oc>
    <nc r="E32">
      <f>J32+L32+N32+P32+R32+T32+V32+X32+Z32</f>
    </nc>
  </rcc>
  <rcc rId="92" sId="8">
    <oc r="E35">
      <f>J35+L35+N35+P35+R35+T35+V35+X35</f>
    </oc>
    <nc r="E35">
      <f>J35+L35+N35+P35+R35+T35+V35+X35+Z35</f>
    </nc>
  </rcc>
  <rcc rId="93" sId="8">
    <oc r="E36">
      <f>J36+L36+N36+P36+R36+T36+V36+X36</f>
    </oc>
    <nc r="E36">
      <f>J36+L36+N36+P36+R36+T36+V36+X36+Z36</f>
    </nc>
  </rcc>
  <rcc rId="94" sId="8">
    <oc r="E37">
      <f>J37+L37+N37+P37+R37+T37+V37+X37</f>
    </oc>
    <nc r="E37">
      <f>J37+L37+N37+P37+R37+T37+V37+X37+Z37</f>
    </nc>
  </rcc>
  <rcc rId="95" sId="8">
    <oc r="E39">
      <f>J39+L39+N39+P39+R39+T39+V39+X39</f>
    </oc>
    <nc r="E39">
      <f>J39+L39+N39+P39+R39+T39+V39+X39+Z39</f>
    </nc>
  </rcc>
  <rcc rId="96" sId="8">
    <oc r="E41">
      <f>J41+L41+N41+P41+R41+T41+V41+X41</f>
    </oc>
    <nc r="E41">
      <f>J41+L41+N41+P41+R41+T41+V41+X41+Z41</f>
    </nc>
  </rcc>
  <rcc rId="97" sId="8">
    <oc r="E43">
      <f>J43+L43+N43+P43+R43+T43+V43+X43</f>
    </oc>
    <nc r="E43">
      <f>J43+L43+N43+P43+R43+T43+V43+X43+Z43</f>
    </nc>
  </rcc>
  <rcc rId="98" sId="8">
    <oc r="E44">
      <f>J44+L44+N44+P44+R44+T44+V44+X44</f>
    </oc>
    <nc r="E44">
      <f>J44+L44+N44+P44+R44+T44+V44+X44+Z44</f>
    </nc>
  </rcc>
  <rcc rId="99" sId="8">
    <oc r="E46">
      <f>J46+L46+N46+P46+R46+T46+V46+X46</f>
    </oc>
    <nc r="E46">
      <f>J46+L46+N46+P46+R46+T46+V46+X46+Z46</f>
    </nc>
  </rcc>
  <rcc rId="100" sId="8">
    <oc r="E47">
      <f>J47+L47+N47+P47+R47+T47+V47+X47</f>
    </oc>
    <nc r="E47">
      <f>J47+L47+N47+P47+R47+T47+V47+X47+Z47</f>
    </nc>
  </rcc>
  <rcc rId="101" sId="8">
    <oc r="E50">
      <f>J50+L50+N50+P50+R50+T50+V50+X50</f>
    </oc>
    <nc r="E50">
      <f>J50+L50+N50+P50+R50+T50+V50+X50+Z50</f>
    </nc>
  </rcc>
  <rcc rId="102" sId="8">
    <oc r="E52">
      <f>J52+L52+N52+P52+R52+T52+V52+X52</f>
    </oc>
    <nc r="E52">
      <f>J52+L52+N52+P52+R52+T52+V52+X52+Z52</f>
    </nc>
  </rcc>
  <rcc rId="103" sId="8">
    <oc r="E54">
      <f>J54+L54+N54+P54+R54+T54+V54+X54</f>
    </oc>
    <nc r="E54">
      <f>J54+L54+N54+P54+R54+T54+V54+X54+Z54</f>
    </nc>
  </rcc>
  <rcc rId="104" sId="8">
    <oc r="E56">
      <f>J56+L56+N56+P56+R56+T56+V56+X56</f>
    </oc>
    <nc r="E56">
      <f>J56+L56+N56+P56+R56+T56+V56+X56+Z56</f>
    </nc>
  </rcc>
  <rcc rId="105" sId="8">
    <oc r="E58">
      <f>J58+L58+N58+P58+R58+T58+V58+X58</f>
    </oc>
    <nc r="E58">
      <f>J58+L58+N58+P58+R58+T58+V58+X58+Z58</f>
    </nc>
  </rcc>
  <rfmt sheetId="8" sqref="B1:B1048576" start="0" length="2147483647">
    <dxf>
      <font>
        <color rgb="FFFF0000"/>
      </font>
    </dxf>
  </rfmt>
  <rfmt sheetId="8" sqref="B4:B6 B8:B11 B18:B20 B34:B37 B49:B50 B55:B56" start="0" length="2147483647">
    <dxf>
      <font>
        <color auto="1"/>
      </font>
    </dxf>
  </rfmt>
  <rfmt sheetId="8" sqref="B57:B58" start="0" length="2147483647">
    <dxf>
      <font>
        <color auto="1"/>
      </font>
    </dxf>
  </rfmt>
  <rcc rId="106" sId="8" numFmtId="4">
    <oc r="AA58">
      <v>0</v>
    </oc>
    <nc r="AA58">
      <v>7774.96</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24:B26" start="0" length="2147483647">
    <dxf>
      <font>
        <color auto="1"/>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27:B29" start="0" length="2147483647">
    <dxf>
      <font>
        <color auto="1"/>
      </font>
    </dxf>
  </rfmt>
  <rcc rId="107" sId="8" numFmtId="4">
    <oc r="Z31">
      <v>0</v>
    </oc>
    <nc r="Z31">
      <v>3108.8</v>
    </nc>
  </rcc>
  <rcc rId="108" sId="8" numFmtId="4">
    <oc r="Z32">
      <v>0</v>
    </oc>
    <nc r="Z32">
      <v>307.45999999999998</v>
    </nc>
  </rcc>
  <rcc rId="109" sId="8" numFmtId="4">
    <oc r="AA32">
      <v>0</v>
    </oc>
    <nc r="AA32">
      <v>1090.0999999999999</v>
    </nc>
  </rcc>
  <rcc rId="110" sId="8" numFmtId="4">
    <oc r="AA31">
      <v>0</v>
    </oc>
    <nc r="AA31">
      <v>11022.09</v>
    </nc>
  </rcc>
  <rcc rId="111" sId="8" numFmtId="4">
    <oc r="AB31">
      <v>0</v>
    </oc>
    <nc r="AB31">
      <v>6217.59</v>
    </nc>
  </rcc>
  <rcc rId="112" sId="8" numFmtId="4">
    <oc r="AB32">
      <v>0</v>
    </oc>
    <nc r="AB32">
      <v>614.92999999999995</v>
    </nc>
  </rcc>
  <rcc rId="113" sId="8" numFmtId="4">
    <oc r="AF32">
      <v>1537.37</v>
    </oc>
    <nc r="AF32">
      <v>614.98</v>
    </nc>
  </rcc>
  <rcc rId="114" sId="8" numFmtId="4">
    <oc r="AF31">
      <v>15543.98</v>
    </oc>
    <nc r="AF31">
      <v>6217.59</v>
    </nc>
  </rcc>
  <rcc rId="115" sId="8">
    <oc r="AH30" t="inlineStr">
      <is>
        <r>
          <t xml:space="preserve">УпоЖП:
</t>
        </r>
        <r>
          <rPr>
            <sz val="12"/>
            <rFont val="Times New Roman"/>
            <family val="1"/>
            <charset val="204"/>
          </rPr>
          <t>04.06.2025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дополнительное соглашение о предоставлении субсидии на 2025 год.  По состоянию на 31.08.2025 в числе претендентов на получение субсидии числятся 3 участников СВО, которым  выданы гарантийные письма. 7 участникам СВО предоставлены субсидии по итогам приобретения жилых помещений в собственность, 1 - отказано в предостиавлении субсидии по причине приобретения жилья, не соотвествующего условиям мероприятия. Отклонение факта от плановых значений вызвано более длительным процессом перечисления окружных средств.</t>
        </r>
      </is>
    </oc>
    <nc r="AH30" t="inlineStr">
      <is>
        <r>
          <t xml:space="preserve">УпоЖП:
</t>
        </r>
        <r>
          <rPr>
            <sz val="12"/>
            <rFont val="Times New Roman"/>
            <family val="1"/>
            <charset val="204"/>
          </rPr>
          <t>04.06.2025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дополнительное соглашение о предоставлении субсидии на 2025 год.  8 участникам СВО предоставлены субсидии по итогам приобретения жилых помещений в собственность; по 2 участникам заявки на предоставление субсидии на согласовании в Депстрое ХМАО - Югры; 1 - отказано в предоставлении субсидии по причине приобретения жилья, не соотвествующего условиям мероприятия. Отклонение факта от плановых значений вызвано более длительным процессом перечисления средств,  запланированных на предыдущий месяц.</t>
        </r>
      </is>
    </nc>
  </rcc>
  <rfmt sheetId="8" sqref="B13:B16" start="0" length="2147483647">
    <dxf>
      <font>
        <color auto="1"/>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30:B32" start="0" length="2147483647">
    <dxf>
      <font>
        <color auto="1"/>
      </font>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38:B47" start="0" length="2147483647">
    <dxf>
      <font>
        <color auto="1"/>
      </font>
    </dxf>
  </rfmt>
  <rcc rId="116" sId="8" numFmtId="4">
    <oc r="Z54">
      <v>1092.77</v>
    </oc>
    <nc r="Z54">
      <v>1452.44</v>
    </nc>
  </rcc>
  <rcc rId="117" sId="8" numFmtId="4">
    <oc r="AA54">
      <v>0</v>
    </oc>
    <nc r="AA54">
      <v>1809.07</v>
    </nc>
  </rcc>
  <rcc rId="118" sId="8" numFmtId="4">
    <oc r="AF54">
      <v>1361.93</v>
    </oc>
    <nc r="AF54">
      <v>991.27</v>
    </nc>
  </rcc>
  <rfmt sheetId="8" sqref="B53:B54" start="0" length="2147483647">
    <dxf>
      <font>
        <color auto="1"/>
      </font>
    </dxf>
  </rfmt>
  <rfmt sheetId="8" sqref="B7" start="0" length="2147483647">
    <dxf>
      <font>
        <color auto="1"/>
      </font>
    </dxf>
  </rfmt>
  <rcc rId="119" sId="8" numFmtId="4">
    <oc r="AA52">
      <v>0</v>
    </oc>
    <nc r="AA52">
      <v>794.89</v>
    </nc>
  </rcc>
  <rfmt sheetId="8" sqref="B51:B52" start="0" length="2147483647">
    <dxf>
      <font>
        <color auto="1"/>
      </font>
    </dxf>
  </rfmt>
  <rfmt sheetId="8" sqref="B21:B23" start="0" length="2147483647">
    <dxf>
      <font>
        <color auto="1"/>
      </font>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8">
    <nc r="AH38" t="inlineStr">
      <is>
        <r>
          <t xml:space="preserve">УпоЖП:
</t>
        </r>
        <r>
          <rPr>
            <sz val="12"/>
            <rFont val="Times New Roman"/>
            <family val="1"/>
            <charset val="204"/>
          </rPr>
          <t>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31.08.2025 состоят 4 человека (3 инвалида, 1 ветеран боевых действий). Граждане, изъявившие желание на получение субсидии в 2025 году, отсутствуют.</t>
        </r>
      </is>
    </nc>
  </rcc>
  <rfmt sheetId="8" sqref="AH38:AH41">
    <dxf>
      <alignment horizontal="left" readingOrder="0"/>
    </dxf>
  </rfmt>
  <rcc rId="2" sId="8">
    <nc r="AH42" t="inlineStr">
      <is>
        <r>
          <t xml:space="preserve">УпоЖП:
</t>
        </r>
        <r>
          <rPr>
            <sz val="12"/>
            <rFont val="Times New Roman"/>
            <family val="1"/>
            <charset val="204"/>
          </rPr>
          <t>В 2025 году участником мероприятия признан 1 участник ВОВ (член семьи умершего ветерана ВОВ), которому выдано гарантийное письмо. По состоянию на 31.08.2025 участник мероприятия находится в стадии поиска жилья для приобретения.</t>
        </r>
      </is>
    </nc>
  </rcc>
  <rfmt sheetId="8" sqref="AH42:AH44">
    <dxf>
      <alignment horizontal="left" readingOrder="0"/>
    </dxf>
  </rfmt>
  <rfmt sheetId="8" sqref="AH42:AH44">
    <dxf>
      <alignment vertical="bottom" readingOrder="0"/>
    </dxf>
  </rfmt>
  <rfmt sheetId="8" sqref="AH42:AH44">
    <dxf>
      <alignment vertical="center" readingOrder="0"/>
    </dxf>
  </rfmt>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17" customView="1" name="Z_AFADB96A_0516_43C1_9F1B_0604F3CAC04A_.wvu.PrintTitles" hidden="1" oldHidden="1">
    <formula>'17. УМИ'!$4:$7</formula>
    <oldFormula>'17. УМИ'!$4:$7</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 sId="1" numFmtId="19">
    <oc r="E6">
      <v>45931</v>
    </oc>
    <nc r="E6">
      <v>45962</v>
    </nc>
  </rcc>
  <rcc rId="121" sId="1" numFmtId="19">
    <oc r="F6">
      <v>45931</v>
    </oc>
    <nc r="F6">
      <v>45962</v>
    </nc>
  </rcc>
  <rcc rId="122" sId="1" numFmtId="19">
    <oc r="G6">
      <v>45931</v>
    </oc>
    <nc r="G6">
      <v>45962</v>
    </nc>
  </rcc>
  <rcc rId="123" sId="1">
    <oc r="E9">
      <f>J9+L9+N9+P9+R9+T9+V9+X9+Z9</f>
    </oc>
    <nc r="E9">
      <f>J9+L9+N9+P9+R9+T9+V9+X9+Z9+AB9</f>
    </nc>
  </rcc>
  <rcc rId="124" sId="1">
    <oc r="E10">
      <f>J10+L10+N10+P10+R10+T10+V10+X10+Z10</f>
    </oc>
    <nc r="E10">
      <f>J10+L10+N10+P10+R10+T10+V10+X10+Z10+AB10</f>
    </nc>
  </rcc>
  <rcc rId="125" sId="1">
    <oc r="E11">
      <f>J11+L11+N11+P11+R11+T11+V11+X11+Z11</f>
    </oc>
    <nc r="E11">
      <f>J11+L11+N11+P11+R11+T11+V11+X11+Z11+AB11</f>
    </nc>
  </rcc>
  <rcc rId="126" sId="1">
    <oc r="E12">
      <f>J12+L12+N12+P12+R12+T12+V12+X12+Z12</f>
    </oc>
    <nc r="E12">
      <f>J12+L12+N12+P12+R12+T12+V12+X12+Z12+AB12</f>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17" customView="1" name="Z_996EC2F0_F6EC_4E63_A83E_34865157BD8D_.wvu.PrintTitles" hidden="1" oldHidden="1">
    <formula>'17. УМИ'!$4:$7</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 sId="1">
    <oc r="E15">
      <f>J15+L15+N15+P15+R15+T15+V15+X15+Z15</f>
    </oc>
    <nc r="E15">
      <f>J15+L15+N15+P15+R15+T15+V15+X15+Z15+AB15</f>
    </nc>
  </rcc>
  <rcc rId="136" sId="1">
    <oc r="E17">
      <f>J17+L17+N17+P17+R17+T17+V17+X17+Z17</f>
    </oc>
    <nc r="E17">
      <f>J17+L17+N17+P17+R17+T17+V17+X17+Z17+AB17</f>
    </nc>
  </rcc>
  <rcc rId="137" sId="1">
    <oc r="E18">
      <f>J18+L18+N18+P18+R18+T18+V18+X18+Z18</f>
    </oc>
    <nc r="E18">
      <f>J18+L18+N18+P18+R18+T18+V18+X18+Z18+AB18</f>
    </nc>
  </rcc>
  <rcc rId="138" sId="1">
    <oc r="E16">
      <f>J16+L16+N16+P16+R16+T16+V16+X16+Z16</f>
    </oc>
    <nc r="E16">
      <f>J16+L16+N16+P16+R16+T16+V16+X16+Z16+AB16</f>
    </nc>
  </rcc>
  <rfmt sheetId="1" xfDxf="1" s="1" sqref="J16"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K16"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L16"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M16"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N16"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39" sId="1" xfDxf="1" s="1" dxf="1" numFmtId="34">
    <oc r="O16">
      <v>12482.68</v>
    </oc>
    <nc r="O16">
      <v>12482.677320000001</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40" sId="1" xfDxf="1" s="1" dxf="1" numFmtId="34">
    <oc r="P16">
      <v>16993.099999999999</v>
    </oc>
    <nc r="P16">
      <v>16993.11</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Q16"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R16"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S16"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41" sId="1" xfDxf="1" s="1" dxf="1" numFmtId="34">
    <oc r="T16">
      <f>15369.58+40999.68</f>
    </oc>
    <nc r="T16">
      <v>56369.256420000005</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42" sId="1" xfDxf="1" s="1" dxf="1" numFmtId="34">
    <oc r="U16">
      <v>56369.26</v>
    </oc>
    <nc r="U16">
      <v>56369.256420999998</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43" sId="1" xfDxf="1" s="1" dxf="1" numFmtId="34">
    <oc r="V16">
      <f>47832.97-15369.58</f>
    </oc>
    <nc r="V16">
      <v>76838.384709999998</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44" sId="1" xfDxf="1" s="1" dxf="1" numFmtId="34">
    <oc r="W16">
      <v>0</v>
    </oc>
    <nc r="W16">
      <v>77434.84</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45" sId="1" xfDxf="1" s="1" dxf="1" numFmtId="34">
    <oc r="X16">
      <v>57399.552000000003</v>
    </oc>
    <nc r="X16">
      <v>154867.17090999999</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46" sId="1" xfDxf="1" s="1" dxf="1" numFmtId="34">
    <oc r="Y16">
      <v>0</v>
    </oc>
    <nc r="Y16">
      <v>97467.62</v>
    </nc>
    <n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47" sId="1" xfDxf="1" s="1" dxf="1" numFmtId="34">
    <oc r="Z16">
      <v>72433.59</v>
    </oc>
    <nc r="Z16">
      <v>341272.63</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48" sId="1" xfDxf="1" s="1" dxf="1" numFmtId="34">
    <oc r="AA16">
      <v>0</v>
    </oc>
    <nc r="AA16">
      <v>174572.17</v>
    </nc>
    <n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49" sId="1" xfDxf="1" s="1" dxf="1" numFmtId="34">
    <oc r="AB16">
      <v>122998.182</v>
    </oc>
    <nc r="AB16">
      <v>122999.03999999999</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50" sId="1" xfDxf="1" s="1" dxf="1" numFmtId="34">
    <oc r="AC16">
      <v>0</v>
    </oc>
    <nc r="AC16">
      <v>123104.1</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51" sId="1" xfDxf="1" s="1" dxf="1" numFmtId="34">
    <oc r="AD16">
      <v>150332.16200000001</v>
    </oc>
    <nc r="AD16">
      <v>150332.16246000002</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AE16"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cc rId="152" sId="1" xfDxf="1" s="1" dxf="1" numFmtId="34">
    <oc r="AF16">
      <v>740669.87</v>
    </oc>
    <nc r="AF16">
      <v>329987.40000000002</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53" sId="1" xfDxf="1" s="1" dxf="1">
    <oc r="AG16">
      <v>0</v>
    </oc>
    <nc r="AG16"/>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1" sqref="J18"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K18"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L18"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M18"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fmt sheetId="1" xfDxf="1" s="1" sqref="N18"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54" sId="1" xfDxf="1" s="1" dxf="1" numFmtId="34">
    <oc r="O18">
      <v>1386.96</v>
    </oc>
    <nc r="O18">
      <v>1386.96415</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P18"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Q18"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R18"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S18" start="0" length="0">
    <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55" sId="1" xfDxf="1" s="1" dxf="1" numFmtId="34">
    <oc r="T18">
      <v>6263.25</v>
    </oc>
    <nc r="T18">
      <v>6263.25072</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56" sId="1" xfDxf="1" s="1" dxf="1" numFmtId="34">
    <oc r="U18">
      <v>6263.25</v>
    </oc>
    <nc r="U18">
      <v>6263.25072</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57" sId="1" xfDxf="1" s="1" dxf="1" numFmtId="34">
    <oc r="V18">
      <v>5314.7730000000001</v>
    </oc>
    <nc r="V18">
      <v>19367.333559999999</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58" sId="1" xfDxf="1" s="1" dxf="1" numFmtId="34">
    <oc r="W18">
      <v>0</v>
    </oc>
    <nc r="W18">
      <v>19433.61</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59" sId="1" xfDxf="1" s="1" dxf="1" numFmtId="34">
    <oc r="X18">
      <v>6377.7280000000001</v>
    </oc>
    <nc r="X18">
      <v>19396.909</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60" sId="1" xfDxf="1" s="1" dxf="1" numFmtId="34">
    <oc r="Y18">
      <v>0</v>
    </oc>
    <nc r="Y18">
      <v>19396.91</v>
    </nc>
    <n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61" sId="1" xfDxf="1" s="1" dxf="1" numFmtId="34">
    <oc r="Z18">
      <v>8048.085</v>
    </oc>
    <nc r="Z18">
      <v>24908.13</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62" sId="1" xfDxf="1" s="1" dxf="1" numFmtId="34">
    <oc r="AA18">
      <v>0</v>
    </oc>
    <nc r="AA18">
      <v>8.1264099999999999</v>
    </nc>
    <n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ndxf>
  </rcc>
  <rcc rId="163" sId="1" xfDxf="1" s="1" dxf="1" numFmtId="34">
    <oc r="AB18">
      <v>13666.56</v>
    </oc>
    <nc r="AB18">
      <v>13666.560220000001</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64" sId="1" xfDxf="1" s="1" dxf="1" numFmtId="34">
    <oc r="AC18">
      <v>0</v>
    </oc>
    <nc r="AC18">
      <v>13678.23</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65" sId="1" xfDxf="1" s="1" dxf="1" numFmtId="34">
    <oc r="AD18">
      <v>16703.573</v>
    </oc>
    <nc r="AD18">
      <v>16703.573609999999</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AE18" start="0" length="0">
    <dxf>
      <font>
        <b/>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rfmt>
  <rcc rId="166" sId="1" xfDxf="1" s="1" dxf="1" numFmtId="34">
    <oc r="AF18">
      <f>101104.38-14444.59</f>
    </oc>
    <nc r="AF18">
      <v>42727.96</v>
    </nc>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67" sId="1" xfDxf="1" s="1" dxf="1">
    <oc r="AG18">
      <v>0</v>
    </oc>
    <nc r="AG18"/>
    <ndxf>
      <font>
        <b val="0"/>
        <i val="0"/>
        <strike val="0"/>
        <condense val="0"/>
        <extend val="0"/>
        <outline val="0"/>
        <shadow val="0"/>
        <u val="none"/>
        <vertAlign val="baseline"/>
        <sz val="14"/>
        <color auto="1"/>
        <name val="Times New Roman"/>
        <scheme val="none"/>
      </font>
      <numFmt numFmtId="35" formatCode="_-* #,##0.00_-;\-* #,##0.00_-;_-* &quot;-&quot;??_-;_-@_-"/>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 sId="1">
    <oc r="E20">
      <f>J20+L20+N20+P20+R20+T20+V20+X20+Z20</f>
    </oc>
    <nc r="E20">
      <f>J20+L20+N20+P20+R20+T20+V20+X20+Z20+AB20</f>
    </nc>
  </rcc>
  <rcc rId="169" sId="1">
    <oc r="E21">
      <f>J21+L21+N21+P21+R21+T21+V21+X21+Z21</f>
    </oc>
    <nc r="E21">
      <f>J21+L21+N21+P21+R21+T21+V21+X21+Z21+AB21</f>
    </nc>
  </rcc>
  <rcc rId="170" sId="1">
    <oc r="E22">
      <f>J22+L22+N22+P22+R22+T22+V22+X22+Z22</f>
    </oc>
    <nc r="E22">
      <f>J22+L22+N22+P22+R22+T22+V22+X22+Z22+AB22</f>
    </nc>
  </rcc>
  <rcc rId="171" sId="1" numFmtId="4">
    <oc r="AC29">
      <v>0</v>
    </oc>
    <nc r="AC29">
      <v>8179.22</v>
    </nc>
  </rcc>
  <rcc rId="172" sId="1" numFmtId="4">
    <oc r="AC31">
      <v>0</v>
    </oc>
    <nc r="AC31">
      <v>80.83</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3" sId="1" numFmtId="4">
    <oc r="AC26">
      <v>0</v>
    </oc>
    <nc r="AC26">
      <v>0.22</v>
    </nc>
  </rcc>
  <rcc rId="174" sId="1">
    <oc r="E24">
      <f>J24+L24+N24+P24+R24+T24+V24+X24+Z24</f>
    </oc>
    <nc r="E24">
      <f>J24+L24+N24+P24+R24+T24+V24+X24+Z24+AB24</f>
    </nc>
  </rcc>
  <rcc rId="175" sId="1">
    <oc r="E25">
      <f>J25+L25+N25+P25+R25+T25+V25+X25+Z25</f>
    </oc>
    <nc r="E25">
      <f>J25+L25+N25+P25+R25+T25+V25+X25+Z25+AB25</f>
    </nc>
  </rcc>
  <rcc rId="176" sId="1">
    <oc r="E26">
      <f>J26+L26+N26+P26+R26+T26+V26+X26+Z26</f>
    </oc>
    <nc r="E26">
      <f>J26+L26+N26+P26+R26+T26+V26+X26+Z26+AB26</f>
    </nc>
  </rcc>
  <rcc rId="177" sId="1" numFmtId="4">
    <oc r="AC25">
      <v>0</v>
    </oc>
    <nc r="AC25">
      <v>13.45</v>
    </nc>
  </rcc>
  <rcc rId="178" sId="1" numFmtId="4">
    <oc r="AC24">
      <v>0</v>
    </oc>
    <nc r="AC24">
      <v>8.6</v>
    </nc>
  </rcc>
  <rcc rId="179" sId="1" numFmtId="4">
    <oc r="R24">
      <v>38.027999999999999</v>
    </oc>
    <nc r="R24">
      <f>38.028+38.03</f>
    </nc>
  </rcc>
  <rcc rId="180" sId="1">
    <oc r="AF24">
      <f>37.89+38.092</f>
    </oc>
    <nc r="AF24">
      <f>37.89+38.092-38.03</f>
    </nc>
  </rcc>
  <rcc rId="181" sId="1">
    <oc r="E23">
      <f>E26+E25+E24</f>
    </oc>
    <nc r="E23">
      <f>E26+E25+E24</f>
    </nc>
  </rcc>
  <rcc rId="182" sId="1">
    <oc r="AF25">
      <f>19.66+79.554</f>
    </oc>
    <nc r="AF25">
      <f>19.66+79.554-49.49</f>
    </nc>
  </rcc>
  <rcc rId="183" sId="1" numFmtId="4">
    <oc r="X25">
      <v>25</v>
    </oc>
    <nc r="X25">
      <f>49.49+25</f>
    </nc>
  </rcc>
  <rcc rId="184" sId="1" numFmtId="4">
    <oc r="Z26">
      <v>0.19</v>
    </oc>
    <nc r="Z26">
      <f>0.9+0.19</f>
    </nc>
  </rcc>
  <rcc rId="185" sId="1">
    <oc r="AF26">
      <f>1.054-0.03</f>
    </oc>
    <nc r="AF26">
      <f>1.054-0.03-0.09</f>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 sId="1">
    <oc r="E34">
      <f>J34+L34+N34+P34+R34+T34+V34+X34+Z34</f>
    </oc>
    <nc r="E34">
      <f>J34+L34+N34+P34+R34+T34+V34+X34+Z34+AB34</f>
    </nc>
  </rcc>
  <rcc rId="187" sId="1">
    <oc r="E35">
      <f>J35+L35+N35+P35+R35+T35+V35+X35+Z35</f>
    </oc>
    <nc r="E35">
      <f>J35+L35+N35+P35+R35+T35+V35+X35+Z35+AB35</f>
    </nc>
  </rcc>
  <rcc rId="188" sId="1">
    <oc r="E36">
      <f>J36+L36+N36+P36+R36+T36+V36+X36+Z36</f>
    </oc>
    <nc r="E36">
      <f>J36+L36+N36+P36+R36+T36+V36+X36+Z36+AB36</f>
    </nc>
  </rcc>
  <rcc rId="189" sId="1">
    <oc r="E37">
      <f>J37+L37+N37+P37+R37+T37+V37+X37+Z37</f>
    </oc>
    <nc r="E37">
      <f>J37+L37+N37+P37+R37+T37+V37+X37+Z37+AB37</f>
    </nc>
  </rcc>
  <rcc rId="190" sId="1">
    <oc r="E39">
      <f>J39+L39+N39+P39+R39+T39+V39+X39+Z39</f>
    </oc>
    <nc r="E39">
      <f>J39+L39+N39+P39+R39+T39+V39+X39+Z39+AB39</f>
    </nc>
  </rcc>
  <rcc rId="191" sId="1">
    <oc r="E40">
      <f>J40+L40+N40+P40+R40+T40+V40+X40+Z40</f>
    </oc>
    <nc r="E40">
      <f>J40+L40+N40+P40+R40+T40+V40+X40+Z40+AB40</f>
    </nc>
  </rcc>
  <rcc rId="192" sId="1">
    <oc r="E41">
      <f>J41+L41+N41+P41+R41+T41+V41+X41+Z41</f>
    </oc>
    <nc r="E41">
      <f>J41+L41+N41+P41+R41+T41+V41+X41+Z41+AB41</f>
    </nc>
  </rcc>
  <rcc rId="193" sId="1">
    <oc r="E43">
      <f>J43+L43+N43+P43+R43+T43+V43+X43+Z43</f>
    </oc>
    <nc r="E43">
      <f>J43+L43+N43+P43+R43+T43+V43+X43+Z43+AB43</f>
    </nc>
  </rcc>
  <rcc rId="194" sId="1">
    <oc r="E44">
      <f>J44+L44+N44+P44+R44+T44+V44+X44+Z44</f>
    </oc>
    <nc r="E44">
      <f>J44+L44+N44+P44+R44+T44+V44+X44+Z44+AB44</f>
    </nc>
  </rcc>
  <rcc rId="195" sId="1">
    <oc r="E45">
      <f>J45+L45+N45+P45+R45+T45+V45+X45+Z45</f>
    </oc>
    <nc r="E45">
      <f>J45+L45+N45+P45+R45+T45+V45+X45+Z45+AB45</f>
    </nc>
  </rcc>
  <rcc rId="196" sId="1" numFmtId="4">
    <oc r="AC43">
      <v>0</v>
    </oc>
    <nc r="AC43">
      <v>39755.49</v>
    </nc>
  </rcc>
  <rcc rId="197" sId="1">
    <oc r="AD43">
      <f>5000+28218.963</f>
    </oc>
    <nc r="AD43">
      <f>5000+28218.963+2946.3</f>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 sId="1">
    <oc r="AF46">
      <f>AF47</f>
    </oc>
    <nc r="AF46">
      <f>AF47</f>
    </nc>
  </rcc>
  <rcc rId="199" sId="1">
    <oc r="AF45">
      <f>22562.669-17655.05-2059.91</f>
    </oc>
    <nc r="AF45">
      <f>22562.669-17655.05-2059.91-927.82</f>
    </nc>
  </rcc>
  <rcc rId="200" sId="1" numFmtId="4">
    <oc r="AC45">
      <v>0</v>
    </oc>
    <nc r="AC45">
      <v>25520.71</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 sId="1">
    <oc r="E47">
      <f>J47+L47+N47+P47+R47+T47</f>
    </oc>
    <nc r="E47">
      <f>J47+L47+N47+P47+R47+T47+V47+X47+Z47+AB47</f>
    </nc>
  </rcc>
  <rcc rId="202" sId="1" numFmtId="4">
    <oc r="W47">
      <v>0</v>
    </oc>
    <nc r="W47">
      <v>377685.37</v>
    </nc>
  </rcc>
  <rcc rId="203" sId="1" numFmtId="4">
    <oc r="Y47">
      <v>0</v>
    </oc>
    <nc r="Y47">
      <v>90000</v>
    </nc>
  </rcc>
  <rcc rId="204" sId="1" numFmtId="4">
    <oc r="AA47">
      <v>0</v>
    </oc>
    <nc r="AA47">
      <v>130000</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 sId="1" numFmtId="4">
    <oc r="AA47">
      <v>130000</v>
    </oc>
    <nc r="AA47">
      <v>110000</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 sId="1" numFmtId="4">
    <oc r="Y47">
      <v>90000</v>
    </oc>
    <nc r="Y47">
      <v>57285</v>
    </nc>
  </rcc>
  <rcc rId="207" sId="1" numFmtId="4">
    <oc r="AC47">
      <v>0</v>
    </oc>
    <nc r="AC47">
      <v>23263.75</v>
    </nc>
  </rcc>
  <rcc rId="208" sId="1">
    <oc r="AB46">
      <f>AB47</f>
    </oc>
    <nc r="AB46">
      <f>AB47</f>
    </nc>
  </rcc>
  <rcc rId="209" sId="1" numFmtId="4">
    <oc r="AB47">
      <v>123715.728</v>
    </oc>
    <nc r="AB47">
      <f>94952.81+123715.728</f>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34:B37" start="0" length="2147483647">
    <dxf>
      <font>
        <color auto="1"/>
      </font>
    </dxf>
  </rfmt>
  <rfmt sheetId="8" sqref="B55:B56" start="0" length="2147483647">
    <dxf>
      <font>
        <color auto="1"/>
      </font>
    </dxf>
  </rfmt>
  <rfmt sheetId="8" sqref="B53:B54" start="0" length="2147483647">
    <dxf>
      <font>
        <color auto="1"/>
      </font>
    </dxf>
  </rfmt>
  <rcc rId="11" sId="8" numFmtId="4">
    <oc r="W54">
      <v>0</v>
    </oc>
    <nc r="W54">
      <v>2089.66</v>
    </nc>
  </rcc>
  <rcc rId="12" sId="8" numFmtId="4">
    <oc r="X54">
      <v>1484.748</v>
    </oc>
    <nc r="X54">
      <v>1495.75</v>
    </nc>
  </rcc>
  <rcc rId="13" sId="8" numFmtId="4">
    <oc r="AF54">
      <v>1372.93</v>
    </oc>
    <nc r="AF54">
      <v>1361.93</v>
    </nc>
  </rcc>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17" customView="1" name="Z_AFADB96A_0516_43C1_9F1B_0604F3CAC04A_.wvu.PrintTitles" hidden="1" oldHidden="1">
    <formula>'17. УМИ'!$4:$7</formula>
    <oldFormula>'17. УМИ'!$4:$7</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 sId="1" numFmtId="4">
    <oc r="W49">
      <v>0</v>
    </oc>
    <nc r="W49">
      <v>1000</v>
    </nc>
  </rcc>
  <rcc rId="211" sId="1" numFmtId="4">
    <oc r="Y49">
      <v>0</v>
    </oc>
    <nc r="Y49">
      <v>1000</v>
    </nc>
  </rcc>
  <rcc rId="212" sId="1" numFmtId="4">
    <oc r="AA49">
      <v>0</v>
    </oc>
    <nc r="AA49">
      <v>1000</v>
    </nc>
  </rcc>
  <rcc rId="213" sId="1">
    <oc r="E49">
      <f>J49+L49+N49+P49+R49+T49</f>
    </oc>
    <nc r="E49">
      <f>J49+L49+N49+P49+R49+T49+V49+X49+Z49+AB49</f>
    </nc>
  </rcc>
  <rcc rId="214" sId="1" numFmtId="4">
    <oc r="AC49">
      <v>0</v>
    </oc>
    <nc r="AC49">
      <v>9574.06</v>
    </nc>
  </rcc>
  <rcc rId="215" sId="1" numFmtId="4">
    <oc r="AB49">
      <v>994.83</v>
    </oc>
    <nc r="AB49">
      <v>10000</v>
    </nc>
  </rcc>
  <rcc rId="216" sId="1" numFmtId="4">
    <oc r="AD49">
      <v>972.43</v>
    </oc>
    <nc r="AD49">
      <v>7972.43</v>
    </nc>
  </rcc>
  <rcc rId="217" sId="1" numFmtId="4">
    <oc r="AF49">
      <v>991.59199999999998</v>
    </oc>
    <nc r="AF49">
      <f>994.83+991.592</f>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 sId="1">
    <oc r="E51">
      <f>J51+L51+N51+P51+R51+T51</f>
    </oc>
    <nc r="E51">
      <f>J51+L51+N51+P51+R51+T51+V51+X51+Z51+AB51</f>
    </nc>
  </rcc>
  <rcc rId="219" sId="1" numFmtId="4">
    <oc r="W51">
      <v>0</v>
    </oc>
    <nc r="W51">
      <v>930</v>
    </nc>
  </rcc>
  <rcc rId="220" sId="1" numFmtId="4">
    <oc r="Y51">
      <v>0</v>
    </oc>
    <nc r="Y51">
      <v>930</v>
    </nc>
  </rcc>
  <rcc rId="221" sId="1" numFmtId="4">
    <oc r="AA51">
      <v>0</v>
    </oc>
    <nc r="AA51">
      <v>600</v>
    </nc>
  </rcc>
  <rcc rId="222" sId="1" numFmtId="4">
    <oc r="AC51">
      <v>0</v>
    </oc>
    <nc r="AC51">
      <v>2220</v>
    </nc>
  </rcc>
  <rcc rId="223" sId="1">
    <oc r="AB51">
      <f>600-104</f>
    </oc>
    <nc r="AB51">
      <f>600-104+2220</f>
    </nc>
  </rcc>
  <rcc rId="224" sId="1" numFmtId="4">
    <oc r="AD51">
      <v>0</v>
    </oc>
    <nc r="AD51">
      <v>2000</v>
    </nc>
  </rcc>
  <rcc rId="225" sId="1" numFmtId="4">
    <oc r="AF51">
      <v>0</v>
    </oc>
    <nc r="AF51">
      <v>916</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 sId="1" numFmtId="4">
    <oc r="AF56">
      <v>10406.9</v>
    </oc>
    <nc r="AF56"/>
  </rcc>
  <rcc rId="227" sId="1" numFmtId="4">
    <oc r="AF57">
      <v>1156.4000000000001</v>
    </oc>
    <nc r="AF57"/>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8" sId="1">
    <oc r="E60">
      <f>J60+L60+N60+P60+R60</f>
    </oc>
    <nc r="E60">
      <f>J60+L60+N60+P60+R60+T60+V60+X60+Z60+AB60</f>
    </nc>
  </rcc>
  <rcc rId="229" sId="1">
    <oc r="E62">
      <f>J62+L62+N62+P62+R62+T62</f>
    </oc>
    <nc r="E62">
      <f>J62+L62+N62+P62+R62+T62+V62+X62+Z62+AB62</f>
    </nc>
  </rcc>
  <rcc rId="230" sId="1">
    <oc r="E64">
      <f>J64+L64+N64+P64+R64+T64</f>
    </oc>
    <nc r="E64">
      <f>J64+L64+N64+P64+R64+T64+V64+X64+Z64+AB64</f>
    </nc>
  </rcc>
  <rcc rId="231" sId="1" numFmtId="4">
    <oc r="W64">
      <v>0</v>
    </oc>
    <nc r="W64">
      <v>8.81</v>
    </nc>
  </rcc>
  <rcc rId="232" sId="1" numFmtId="4">
    <oc r="Y64">
      <v>0</v>
    </oc>
    <nc r="Y64">
      <v>8.82</v>
    </nc>
  </rcc>
  <rcc rId="233" sId="1">
    <oc r="R60">
      <f>R62+R64</f>
    </oc>
    <nc r="R60">
      <f>R62+R64</f>
    </nc>
  </rcc>
  <rcc rId="234" sId="1" numFmtId="4">
    <oc r="Z63">
      <f>Z64</f>
    </oc>
    <nc r="Z63">
      <v>9</v>
    </nc>
  </rcc>
  <rcc rId="235" sId="1" numFmtId="4">
    <oc r="AA63">
      <f>AA64</f>
    </oc>
    <nc r="AA63">
      <v>9</v>
    </nc>
  </rcc>
  <rcc rId="236" sId="1">
    <oc r="F64">
      <f>G64</f>
    </oc>
    <nc r="F64">
      <f>G64</f>
    </nc>
  </rcc>
  <rcc rId="237" sId="1">
    <oc r="G64">
      <f>SUM(K64,M64,O64,Q64,S64,U64,W64,Y64,AA64,AC64,AE64,AG64)</f>
    </oc>
    <nc r="G64">
      <f>SUM(K64,M64,O64,Q64,S64,U64,W64,Y64,AA64,AC64,AE64,AG64)</f>
    </nc>
  </rcc>
  <rcc rId="238" sId="1" numFmtId="4">
    <oc r="AC64">
      <v>0</v>
    </oc>
    <nc r="AC64">
      <v>167.96</v>
    </nc>
  </rcc>
  <rcc rId="239" sId="1" numFmtId="4">
    <oc r="AB64">
      <v>45</v>
    </oc>
    <nc r="AB64">
      <f>167.87+45</f>
    </nc>
  </rcc>
  <rcc rId="240" sId="1" numFmtId="4">
    <oc r="AF64">
      <v>440.16</v>
    </oc>
    <nc r="AF64">
      <f>440.16-167.87</f>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1" sId="1" numFmtId="4">
    <oc r="AC43">
      <v>39755.49</v>
    </oc>
    <nc r="AC43">
      <f>11879.94+39755.49</f>
    </nc>
  </rcc>
  <rcc rId="242" sId="1">
    <oc r="AD43">
      <f>5000+28218.963+2946.3</f>
    </oc>
    <nc r="AD43">
      <f>5000+28218.963+2946.3+12563.7</f>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7" start="0" length="0">
    <dxf>
      <border>
        <bottom style="thin">
          <color indexed="64"/>
        </bottom>
      </border>
    </dxf>
  </rfmt>
  <rrc rId="243" sId="1" ref="A58:XFD58" action="insertRow">
    <undo index="10" exp="area" ref3D="1" dr="$A$75:$XFD$75" dn="Z_2A5A11D4_90C6_4A3E_8165_7D7BD634B22F_.wvu.Rows" sId="1"/>
    <undo index="8" exp="area" ref3D="1" dr="$A$71:$XFD$71" dn="Z_2A5A11D4_90C6_4A3E_8165_7D7BD634B22F_.wvu.Rows" sId="1"/>
    <undo index="6" exp="area" ref3D="1" dr="$A$59:$XFD$59" dn="Z_2A5A11D4_90C6_4A3E_8165_7D7BD634B22F_.wvu.Rows" sId="1"/>
    <undo index="10" exp="area" ref3D="1" dr="$A$75:$XFD$75" dn="Z_21E1D423_7B38_4272_8354_09B4DB62C9EB_.wvu.Rows" sId="1"/>
    <undo index="8" exp="area" ref3D="1" dr="$A$71:$XFD$71" dn="Z_21E1D423_7B38_4272_8354_09B4DB62C9EB_.wvu.Rows" sId="1"/>
    <undo index="6" exp="area" ref3D="1" dr="$A$59:$XFD$59" dn="Z_21E1D423_7B38_4272_8354_09B4DB62C9EB_.wvu.Rows" sId="1"/>
    <undo index="10" exp="area" ref3D="1" dr="$A$75:$XFD$75" dn="Z_2940A182_D1A7_43C5_8D6E_965BED4371B0_.wvu.Rows" sId="1"/>
    <undo index="8" exp="area" ref3D="1" dr="$A$71:$XFD$71" dn="Z_2940A182_D1A7_43C5_8D6E_965BED4371B0_.wvu.Rows" sId="1"/>
    <undo index="6" exp="area" ref3D="1" dr="$A$59:$XFD$59" dn="Z_2940A182_D1A7_43C5_8D6E_965BED4371B0_.wvu.Rows" sId="1"/>
    <undo index="10" exp="area" ref3D="1" dr="$A$75:$XFD$75" dn="Z_A4AF2100_C59D_4F60_9EAB_56D9103463F7_.wvu.Rows" sId="1"/>
    <undo index="8" exp="area" ref3D="1" dr="$A$71:$XFD$71" dn="Z_A4AF2100_C59D_4F60_9EAB_56D9103463F7_.wvu.Rows" sId="1"/>
    <undo index="6" exp="area" ref3D="1" dr="$A$59:$XFD$59" dn="Z_A4AF2100_C59D_4F60_9EAB_56D9103463F7_.wvu.Rows" sId="1"/>
    <undo index="10" exp="area" ref3D="1" dr="$A$75:$XFD$75" dn="Z_A0E2FBF6_E560_4343_8BE6_217DC798135B_.wvu.Rows" sId="1"/>
    <undo index="8" exp="area" ref3D="1" dr="$A$71:$XFD$71" dn="Z_A0E2FBF6_E560_4343_8BE6_217DC798135B_.wvu.Rows" sId="1"/>
    <undo index="6" exp="area" ref3D="1" dr="$A$59:$XFD$59" dn="Z_A0E2FBF6_E560_4343_8BE6_217DC798135B_.wvu.Rows" sId="1"/>
    <undo index="8" exp="area" ref3D="1" dr="$A$75:$XFD$75" dn="Z_996EC2F0_F6EC_4E63_A83E_34865157BD8D_.wvu.Rows" sId="1"/>
    <undo index="6" exp="area" ref3D="1" dr="$A$71:$XFD$71" dn="Z_996EC2F0_F6EC_4E63_A83E_34865157BD8D_.wvu.Rows" sId="1"/>
    <undo index="10" exp="area" ref3D="1" dr="$A$75:$XFD$75" dn="Z_7C5A2A36_3D69_43D9_9018_A52C27EC78F9_.wvu.Rows" sId="1"/>
    <undo index="8" exp="area" ref3D="1" dr="$A$71:$XFD$71" dn="Z_7C5A2A36_3D69_43D9_9018_A52C27EC78F9_.wvu.Rows" sId="1"/>
    <undo index="6" exp="area" ref3D="1" dr="$A$59:$XFD$59" dn="Z_7C5A2A36_3D69_43D9_9018_A52C27EC78F9_.wvu.Rows" sId="1"/>
    <undo index="10" exp="area" ref3D="1" dr="$A$75:$XFD$75" dn="Z_562453CE_35F5_40A3_AD14_6399D1197C99_.wvu.Rows" sId="1"/>
    <undo index="8" exp="area" ref3D="1" dr="$A$71:$XFD$71" dn="Z_562453CE_35F5_40A3_AD14_6399D1197C99_.wvu.Rows" sId="1"/>
    <undo index="6" exp="area" ref3D="1" dr="$A$59:$XFD$59" dn="Z_562453CE_35F5_40A3_AD14_6399D1197C99_.wvu.Rows" sId="1"/>
    <undo index="10" exp="area" ref3D="1" dr="$A$75:$XFD$75" dn="Z_60A1F930_4BEC_460A_8E14_01E47F6DD055_.wvu.Rows" sId="1"/>
    <undo index="8" exp="area" ref3D="1" dr="$A$71:$XFD$71" dn="Z_60A1F930_4BEC_460A_8E14_01E47F6DD055_.wvu.Rows" sId="1"/>
    <undo index="6" exp="area" ref3D="1" dr="$A$59:$XFD$59" dn="Z_60A1F930_4BEC_460A_8E14_01E47F6DD055_.wvu.Rows" sId="1"/>
    <undo index="10" exp="area" ref3D="1" dr="$A$75:$XFD$75" dn="Z_5DF2C78B_5EE4_439D_8D72_8D3A913B65F9_.wvu.Rows" sId="1"/>
    <undo index="8" exp="area" ref3D="1" dr="$A$71:$XFD$71" dn="Z_5DF2C78B_5EE4_439D_8D72_8D3A913B65F9_.wvu.Rows" sId="1"/>
    <undo index="6" exp="area" ref3D="1" dr="$A$59:$XFD$59" dn="Z_5DF2C78B_5EE4_439D_8D72_8D3A913B65F9_.wvu.Rows" sId="1"/>
    <undo index="10" exp="area" ref3D="1" dr="$A$75:$XFD$75" dn="Z_519948E4_0B24_465F_9D9E_44BE50D1D647_.wvu.Rows" sId="1"/>
    <undo index="8" exp="area" ref3D="1" dr="$A$71:$XFD$71" dn="Z_519948E4_0B24_465F_9D9E_44BE50D1D647_.wvu.Rows" sId="1"/>
    <undo index="6" exp="area" ref3D="1" dr="$A$59:$XFD$59" dn="Z_519948E4_0B24_465F_9D9E_44BE50D1D647_.wvu.Rows" sId="1"/>
    <undo index="10" exp="area" ref3D="1" dr="$A$75:$XFD$75" dn="Z_4E221C17_6DAB_4FFA_B18C_35D4D85AF6E8_.wvu.Rows" sId="1"/>
    <undo index="8" exp="area" ref3D="1" dr="$A$71:$XFD$71" dn="Z_4E221C17_6DAB_4FFA_B18C_35D4D85AF6E8_.wvu.Rows" sId="1"/>
    <undo index="6" exp="area" ref3D="1" dr="$A$59:$XFD$59" dn="Z_4E221C17_6DAB_4FFA_B18C_35D4D85AF6E8_.wvu.Rows" sId="1"/>
    <undo index="10" exp="area" ref3D="1" dr="$A$75:$XFD$75" dn="Z_30B635D9_57DB_47D5_8A0F_4B30DD769960_.wvu.Rows" sId="1"/>
    <undo index="8" exp="area" ref3D="1" dr="$A$71:$XFD$71" dn="Z_30B635D9_57DB_47D5_8A0F_4B30DD769960_.wvu.Rows" sId="1"/>
    <undo index="6" exp="area" ref3D="1" dr="$A$59:$XFD$59" dn="Z_30B635D9_57DB_47D5_8A0F_4B30DD769960_.wvu.Rows" sId="1"/>
    <undo index="10" exp="area" ref3D="1" dr="$A$75:$XFD$75" dn="Z_F528EF6A_C113_49B5_B25F_D660F898CBFB_.wvu.Rows" sId="1"/>
    <undo index="8" exp="area" ref3D="1" dr="$A$71:$XFD$71" dn="Z_F528EF6A_C113_49B5_B25F_D660F898CBFB_.wvu.Rows" sId="1"/>
    <undo index="6" exp="area" ref3D="1" dr="$A$59:$XFD$59" dn="Z_F528EF6A_C113_49B5_B25F_D660F898CBFB_.wvu.Rows" sId="1"/>
    <undo index="10" exp="area" ref3D="1" dr="$A$75:$XFD$75" dn="Z_EA46B61D_849C_4795_A4FF_F8F1740022EB_.wvu.Rows" sId="1"/>
    <undo index="8" exp="area" ref3D="1" dr="$A$71:$XFD$71" dn="Z_EA46B61D_849C_4795_A4FF_F8F1740022EB_.wvu.Rows" sId="1"/>
    <undo index="6" exp="area" ref3D="1" dr="$A$59:$XFD$59" dn="Z_EA46B61D_849C_4795_A4FF_F8F1740022EB_.wvu.Rows" sId="1"/>
    <undo index="10" exp="area" ref3D="1" dr="$A$75:$XFD$75" dn="Z_20A05A62_CBE8_4538_BBC3_2AD9D3B8FAC0_.wvu.Rows" sId="1"/>
    <undo index="8" exp="area" ref3D="1" dr="$A$71:$XFD$71" dn="Z_20A05A62_CBE8_4538_BBC3_2AD9D3B8FAC0_.wvu.Rows" sId="1"/>
    <undo index="6" exp="area" ref3D="1" dr="$A$59:$XFD$59" dn="Z_20A05A62_CBE8_4538_BBC3_2AD9D3B8FAC0_.wvu.Rows" sId="1"/>
    <undo index="10" exp="area" ref3D="1" dr="$A$75:$XFD$75" dn="Z_133BB3F8_8DD4_4AEF_8CD6_A5FB14681329_.wvu.Rows" sId="1"/>
    <undo index="8" exp="area" ref3D="1" dr="$A$71:$XFD$71" dn="Z_133BB3F8_8DD4_4AEF_8CD6_A5FB14681329_.wvu.Rows" sId="1"/>
    <undo index="6" exp="area" ref3D="1" dr="$A$59:$XFD$59" dn="Z_133BB3F8_8DD4_4AEF_8CD6_A5FB14681329_.wvu.Rows" sId="1"/>
    <undo index="10" exp="area" ref3D="1" dr="$A$75:$XFD$75" dn="Z_A7640BE7_6438_4196_9A67_AF5B992A1E70_.wvu.Rows" sId="1"/>
    <undo index="8" exp="area" ref3D="1" dr="$A$71:$XFD$71" dn="Z_A7640BE7_6438_4196_9A67_AF5B992A1E70_.wvu.Rows" sId="1"/>
    <undo index="6" exp="area" ref3D="1" dr="$A$59:$XFD$59" dn="Z_A7640BE7_6438_4196_9A67_AF5B992A1E70_.wvu.Rows" sId="1"/>
    <undo index="10" exp="area" ref3D="1" dr="$A$75:$XFD$75" dn="Z_C68436F4_AFB3_4D1D_A7C4_56D0C677D68E_.wvu.Rows" sId="1"/>
    <undo index="8" exp="area" ref3D="1" dr="$A$71:$XFD$71" dn="Z_C68436F4_AFB3_4D1D_A7C4_56D0C677D68E_.wvu.Rows" sId="1"/>
    <undo index="6" exp="area" ref3D="1" dr="$A$59:$XFD$59" dn="Z_C68436F4_AFB3_4D1D_A7C4_56D0C677D68E_.wvu.Rows" sId="1"/>
    <undo index="10" exp="area" ref3D="1" dr="$A$75:$XFD$75" dn="Z_C282AA4E_1BB5_4296_9AC6_844C0F88E5FC_.wvu.Rows" sId="1"/>
    <undo index="8" exp="area" ref3D="1" dr="$A$71:$XFD$71" dn="Z_C282AA4E_1BB5_4296_9AC6_844C0F88E5FC_.wvu.Rows" sId="1"/>
    <undo index="6" exp="area" ref3D="1" dr="$A$59:$XFD$59" dn="Z_C282AA4E_1BB5_4296_9AC6_844C0F88E5FC_.wvu.Rows" sId="1"/>
    <undo index="10" exp="area" ref3D="1" dr="$A$75:$XFD$75" dn="Z_C7DC638A_7F60_46C9_A1FB_9ADEAE87F332_.wvu.Rows" sId="1"/>
    <undo index="8" exp="area" ref3D="1" dr="$A$71:$XFD$71" dn="Z_C7DC638A_7F60_46C9_A1FB_9ADEAE87F332_.wvu.Rows" sId="1"/>
    <undo index="6" exp="area" ref3D="1" dr="$A$59:$XFD$59" dn="Z_C7DC638A_7F60_46C9_A1FB_9ADEAE87F332_.wvu.Rows" sId="1"/>
    <undo index="10" exp="area" ref3D="1" dr="$A$75:$XFD$75" dn="Z_C01DC081_B312_4391_B775_A8CE76216D71_.wvu.Rows" sId="1"/>
    <undo index="8" exp="area" ref3D="1" dr="$A$71:$XFD$71" dn="Z_C01DC081_B312_4391_B775_A8CE76216D71_.wvu.Rows" sId="1"/>
    <undo index="6" exp="area" ref3D="1" dr="$A$59:$XFD$59" dn="Z_C01DC081_B312_4391_B775_A8CE76216D71_.wvu.Rows" sId="1"/>
    <undo index="10" exp="area" ref3D="1" dr="$A$75:$XFD$75" dn="Z_DAEDC989_02E7_4319_8354_59410ACF3F1F_.wvu.Rows" sId="1"/>
    <undo index="8" exp="area" ref3D="1" dr="$A$71:$XFD$71" dn="Z_DAEDC989_02E7_4319_8354_59410ACF3F1F_.wvu.Rows" sId="1"/>
    <undo index="6" exp="area" ref3D="1" dr="$A$59:$XFD$59" dn="Z_DAEDC989_02E7_4319_8354_59410ACF3F1F_.wvu.Rows" sId="1"/>
    <undo index="10" exp="area" ref3D="1" dr="$A$75:$XFD$75" dn="Z_B6B60ED6_A6CC_4DA7_A8CA_5E6DB52D5A87_.wvu.Rows" sId="1"/>
    <undo index="8" exp="area" ref3D="1" dr="$A$71:$XFD$71" dn="Z_B6B60ED6_A6CC_4DA7_A8CA_5E6DB52D5A87_.wvu.Rows" sId="1"/>
    <undo index="6" exp="area" ref3D="1" dr="$A$59:$XFD$59" dn="Z_B6B60ED6_A6CC_4DA7_A8CA_5E6DB52D5A87_.wvu.Rows" sId="1"/>
    <undo index="10" exp="area" ref3D="1" dr="$A$75:$XFD$75" dn="Z_BBF6B43F_E0FC_43DF_B91C_674F6AB4B556_.wvu.Rows" sId="1"/>
    <undo index="8" exp="area" ref3D="1" dr="$A$71:$XFD$71" dn="Z_BBF6B43F_E0FC_43DF_B91C_674F6AB4B556_.wvu.Rows" sId="1"/>
    <undo index="6" exp="area" ref3D="1" dr="$A$59:$XFD$59" dn="Z_BBF6B43F_E0FC_43DF_B91C_674F6AB4B556_.wvu.Rows" sId="1"/>
    <undo index="10" exp="area" ref3D="1" dr="$A$75:$XFD$75" dn="Z_AB9978E4_895D_4050_8F07_2484E22632D1_.wvu.Rows" sId="1"/>
    <undo index="8" exp="area" ref3D="1" dr="$A$71:$XFD$71" dn="Z_AB9978E4_895D_4050_8F07_2484E22632D1_.wvu.Rows" sId="1"/>
    <undo index="6" exp="area" ref3D="1" dr="$A$59:$XFD$59" dn="Z_AB9978E4_895D_4050_8F07_2484E22632D1_.wvu.Rows" sId="1"/>
    <undo index="10" exp="area" ref3D="1" dr="$A$75:$XFD$75" dn="Z_AFADB96A_0516_43C1_9F1B_0604F3CAC04A_.wvu.Rows" sId="1"/>
    <undo index="8" exp="area" ref3D="1" dr="$A$71:$XFD$71" dn="Z_AFADB96A_0516_43C1_9F1B_0604F3CAC04A_.wvu.Rows" sId="1"/>
    <undo index="6" exp="area" ref3D="1" dr="$A$59:$XFD$59" dn="Z_AFADB96A_0516_43C1_9F1B_0604F3CAC04A_.wvu.Rows" sId="1"/>
  </rrc>
  <rrc rId="244" sId="1" ref="A58:XFD59" action="insertRow">
    <undo index="10" exp="area" ref3D="1" dr="$A$76:$XFD$76" dn="Z_2A5A11D4_90C6_4A3E_8165_7D7BD634B22F_.wvu.Rows" sId="1"/>
    <undo index="8" exp="area" ref3D="1" dr="$A$72:$XFD$72" dn="Z_2A5A11D4_90C6_4A3E_8165_7D7BD634B22F_.wvu.Rows" sId="1"/>
    <undo index="6" exp="area" ref3D="1" dr="$A$60:$XFD$60" dn="Z_2A5A11D4_90C6_4A3E_8165_7D7BD634B22F_.wvu.Rows" sId="1"/>
    <undo index="10" exp="area" ref3D="1" dr="$A$76:$XFD$76" dn="Z_21E1D423_7B38_4272_8354_09B4DB62C9EB_.wvu.Rows" sId="1"/>
    <undo index="8" exp="area" ref3D="1" dr="$A$72:$XFD$72" dn="Z_21E1D423_7B38_4272_8354_09B4DB62C9EB_.wvu.Rows" sId="1"/>
    <undo index="6" exp="area" ref3D="1" dr="$A$60:$XFD$60" dn="Z_21E1D423_7B38_4272_8354_09B4DB62C9EB_.wvu.Rows" sId="1"/>
    <undo index="10" exp="area" ref3D="1" dr="$A$76:$XFD$76" dn="Z_2940A182_D1A7_43C5_8D6E_965BED4371B0_.wvu.Rows" sId="1"/>
    <undo index="8" exp="area" ref3D="1" dr="$A$72:$XFD$72" dn="Z_2940A182_D1A7_43C5_8D6E_965BED4371B0_.wvu.Rows" sId="1"/>
    <undo index="6" exp="area" ref3D="1" dr="$A$60:$XFD$60" dn="Z_2940A182_D1A7_43C5_8D6E_965BED4371B0_.wvu.Rows" sId="1"/>
    <undo index="10" exp="area" ref3D="1" dr="$A$76:$XFD$76" dn="Z_A4AF2100_C59D_4F60_9EAB_56D9103463F7_.wvu.Rows" sId="1"/>
    <undo index="8" exp="area" ref3D="1" dr="$A$72:$XFD$72" dn="Z_A4AF2100_C59D_4F60_9EAB_56D9103463F7_.wvu.Rows" sId="1"/>
    <undo index="6" exp="area" ref3D="1" dr="$A$60:$XFD$60" dn="Z_A4AF2100_C59D_4F60_9EAB_56D9103463F7_.wvu.Rows" sId="1"/>
    <undo index="10" exp="area" ref3D="1" dr="$A$76:$XFD$76" dn="Z_A0E2FBF6_E560_4343_8BE6_217DC798135B_.wvu.Rows" sId="1"/>
    <undo index="8" exp="area" ref3D="1" dr="$A$72:$XFD$72" dn="Z_A0E2FBF6_E560_4343_8BE6_217DC798135B_.wvu.Rows" sId="1"/>
    <undo index="6" exp="area" ref3D="1" dr="$A$60:$XFD$60" dn="Z_A0E2FBF6_E560_4343_8BE6_217DC798135B_.wvu.Rows" sId="1"/>
    <undo index="8" exp="area" ref3D="1" dr="$A$76:$XFD$76" dn="Z_996EC2F0_F6EC_4E63_A83E_34865157BD8D_.wvu.Rows" sId="1"/>
    <undo index="6" exp="area" ref3D="1" dr="$A$72:$XFD$72" dn="Z_996EC2F0_F6EC_4E63_A83E_34865157BD8D_.wvu.Rows" sId="1"/>
    <undo index="10" exp="area" ref3D="1" dr="$A$76:$XFD$76" dn="Z_7C5A2A36_3D69_43D9_9018_A52C27EC78F9_.wvu.Rows" sId="1"/>
    <undo index="8" exp="area" ref3D="1" dr="$A$72:$XFD$72" dn="Z_7C5A2A36_3D69_43D9_9018_A52C27EC78F9_.wvu.Rows" sId="1"/>
    <undo index="6" exp="area" ref3D="1" dr="$A$60:$XFD$60" dn="Z_7C5A2A36_3D69_43D9_9018_A52C27EC78F9_.wvu.Rows" sId="1"/>
    <undo index="10" exp="area" ref3D="1" dr="$A$76:$XFD$76" dn="Z_562453CE_35F5_40A3_AD14_6399D1197C99_.wvu.Rows" sId="1"/>
    <undo index="8" exp="area" ref3D="1" dr="$A$72:$XFD$72" dn="Z_562453CE_35F5_40A3_AD14_6399D1197C99_.wvu.Rows" sId="1"/>
    <undo index="6" exp="area" ref3D="1" dr="$A$60:$XFD$60" dn="Z_562453CE_35F5_40A3_AD14_6399D1197C99_.wvu.Rows" sId="1"/>
    <undo index="10" exp="area" ref3D="1" dr="$A$76:$XFD$76" dn="Z_60A1F930_4BEC_460A_8E14_01E47F6DD055_.wvu.Rows" sId="1"/>
    <undo index="8" exp="area" ref3D="1" dr="$A$72:$XFD$72" dn="Z_60A1F930_4BEC_460A_8E14_01E47F6DD055_.wvu.Rows" sId="1"/>
    <undo index="6" exp="area" ref3D="1" dr="$A$60:$XFD$60" dn="Z_60A1F930_4BEC_460A_8E14_01E47F6DD055_.wvu.Rows" sId="1"/>
    <undo index="10" exp="area" ref3D="1" dr="$A$76:$XFD$76" dn="Z_5DF2C78B_5EE4_439D_8D72_8D3A913B65F9_.wvu.Rows" sId="1"/>
    <undo index="8" exp="area" ref3D="1" dr="$A$72:$XFD$72" dn="Z_5DF2C78B_5EE4_439D_8D72_8D3A913B65F9_.wvu.Rows" sId="1"/>
    <undo index="6" exp="area" ref3D="1" dr="$A$60:$XFD$60" dn="Z_5DF2C78B_5EE4_439D_8D72_8D3A913B65F9_.wvu.Rows" sId="1"/>
    <undo index="10" exp="area" ref3D="1" dr="$A$76:$XFD$76" dn="Z_519948E4_0B24_465F_9D9E_44BE50D1D647_.wvu.Rows" sId="1"/>
    <undo index="8" exp="area" ref3D="1" dr="$A$72:$XFD$72" dn="Z_519948E4_0B24_465F_9D9E_44BE50D1D647_.wvu.Rows" sId="1"/>
    <undo index="6" exp="area" ref3D="1" dr="$A$60:$XFD$60" dn="Z_519948E4_0B24_465F_9D9E_44BE50D1D647_.wvu.Rows" sId="1"/>
    <undo index="10" exp="area" ref3D="1" dr="$A$76:$XFD$76" dn="Z_4E221C17_6DAB_4FFA_B18C_35D4D85AF6E8_.wvu.Rows" sId="1"/>
    <undo index="8" exp="area" ref3D="1" dr="$A$72:$XFD$72" dn="Z_4E221C17_6DAB_4FFA_B18C_35D4D85AF6E8_.wvu.Rows" sId="1"/>
    <undo index="6" exp="area" ref3D="1" dr="$A$60:$XFD$60" dn="Z_4E221C17_6DAB_4FFA_B18C_35D4D85AF6E8_.wvu.Rows" sId="1"/>
    <undo index="10" exp="area" ref3D="1" dr="$A$76:$XFD$76" dn="Z_30B635D9_57DB_47D5_8A0F_4B30DD769960_.wvu.Rows" sId="1"/>
    <undo index="8" exp="area" ref3D="1" dr="$A$72:$XFD$72" dn="Z_30B635D9_57DB_47D5_8A0F_4B30DD769960_.wvu.Rows" sId="1"/>
    <undo index="6" exp="area" ref3D="1" dr="$A$60:$XFD$60" dn="Z_30B635D9_57DB_47D5_8A0F_4B30DD769960_.wvu.Rows" sId="1"/>
    <undo index="10" exp="area" ref3D="1" dr="$A$76:$XFD$76" dn="Z_F528EF6A_C113_49B5_B25F_D660F898CBFB_.wvu.Rows" sId="1"/>
    <undo index="8" exp="area" ref3D="1" dr="$A$72:$XFD$72" dn="Z_F528EF6A_C113_49B5_B25F_D660F898CBFB_.wvu.Rows" sId="1"/>
    <undo index="6" exp="area" ref3D="1" dr="$A$60:$XFD$60" dn="Z_F528EF6A_C113_49B5_B25F_D660F898CBFB_.wvu.Rows" sId="1"/>
    <undo index="10" exp="area" ref3D="1" dr="$A$76:$XFD$76" dn="Z_EA46B61D_849C_4795_A4FF_F8F1740022EB_.wvu.Rows" sId="1"/>
    <undo index="8" exp="area" ref3D="1" dr="$A$72:$XFD$72" dn="Z_EA46B61D_849C_4795_A4FF_F8F1740022EB_.wvu.Rows" sId="1"/>
    <undo index="6" exp="area" ref3D="1" dr="$A$60:$XFD$60" dn="Z_EA46B61D_849C_4795_A4FF_F8F1740022EB_.wvu.Rows" sId="1"/>
    <undo index="10" exp="area" ref3D="1" dr="$A$76:$XFD$76" dn="Z_20A05A62_CBE8_4538_BBC3_2AD9D3B8FAC0_.wvu.Rows" sId="1"/>
    <undo index="8" exp="area" ref3D="1" dr="$A$72:$XFD$72" dn="Z_20A05A62_CBE8_4538_BBC3_2AD9D3B8FAC0_.wvu.Rows" sId="1"/>
    <undo index="6" exp="area" ref3D="1" dr="$A$60:$XFD$60" dn="Z_20A05A62_CBE8_4538_BBC3_2AD9D3B8FAC0_.wvu.Rows" sId="1"/>
    <undo index="10" exp="area" ref3D="1" dr="$A$76:$XFD$76" dn="Z_133BB3F8_8DD4_4AEF_8CD6_A5FB14681329_.wvu.Rows" sId="1"/>
    <undo index="8" exp="area" ref3D="1" dr="$A$72:$XFD$72" dn="Z_133BB3F8_8DD4_4AEF_8CD6_A5FB14681329_.wvu.Rows" sId="1"/>
    <undo index="6" exp="area" ref3D="1" dr="$A$60:$XFD$60" dn="Z_133BB3F8_8DD4_4AEF_8CD6_A5FB14681329_.wvu.Rows" sId="1"/>
    <undo index="10" exp="area" ref3D="1" dr="$A$76:$XFD$76" dn="Z_A7640BE7_6438_4196_9A67_AF5B992A1E70_.wvu.Rows" sId="1"/>
    <undo index="8" exp="area" ref3D="1" dr="$A$72:$XFD$72" dn="Z_A7640BE7_6438_4196_9A67_AF5B992A1E70_.wvu.Rows" sId="1"/>
    <undo index="6" exp="area" ref3D="1" dr="$A$60:$XFD$60" dn="Z_A7640BE7_6438_4196_9A67_AF5B992A1E70_.wvu.Rows" sId="1"/>
    <undo index="10" exp="area" ref3D="1" dr="$A$76:$XFD$76" dn="Z_C68436F4_AFB3_4D1D_A7C4_56D0C677D68E_.wvu.Rows" sId="1"/>
    <undo index="8" exp="area" ref3D="1" dr="$A$72:$XFD$72" dn="Z_C68436F4_AFB3_4D1D_A7C4_56D0C677D68E_.wvu.Rows" sId="1"/>
    <undo index="6" exp="area" ref3D="1" dr="$A$60:$XFD$60" dn="Z_C68436F4_AFB3_4D1D_A7C4_56D0C677D68E_.wvu.Rows" sId="1"/>
    <undo index="10" exp="area" ref3D="1" dr="$A$76:$XFD$76" dn="Z_C282AA4E_1BB5_4296_9AC6_844C0F88E5FC_.wvu.Rows" sId="1"/>
    <undo index="8" exp="area" ref3D="1" dr="$A$72:$XFD$72" dn="Z_C282AA4E_1BB5_4296_9AC6_844C0F88E5FC_.wvu.Rows" sId="1"/>
    <undo index="6" exp="area" ref3D="1" dr="$A$60:$XFD$60" dn="Z_C282AA4E_1BB5_4296_9AC6_844C0F88E5FC_.wvu.Rows" sId="1"/>
    <undo index="10" exp="area" ref3D="1" dr="$A$76:$XFD$76" dn="Z_C7DC638A_7F60_46C9_A1FB_9ADEAE87F332_.wvu.Rows" sId="1"/>
    <undo index="8" exp="area" ref3D="1" dr="$A$72:$XFD$72" dn="Z_C7DC638A_7F60_46C9_A1FB_9ADEAE87F332_.wvu.Rows" sId="1"/>
    <undo index="6" exp="area" ref3D="1" dr="$A$60:$XFD$60" dn="Z_C7DC638A_7F60_46C9_A1FB_9ADEAE87F332_.wvu.Rows" sId="1"/>
    <undo index="10" exp="area" ref3D="1" dr="$A$76:$XFD$76" dn="Z_C01DC081_B312_4391_B775_A8CE76216D71_.wvu.Rows" sId="1"/>
    <undo index="8" exp="area" ref3D="1" dr="$A$72:$XFD$72" dn="Z_C01DC081_B312_4391_B775_A8CE76216D71_.wvu.Rows" sId="1"/>
    <undo index="6" exp="area" ref3D="1" dr="$A$60:$XFD$60" dn="Z_C01DC081_B312_4391_B775_A8CE76216D71_.wvu.Rows" sId="1"/>
    <undo index="10" exp="area" ref3D="1" dr="$A$76:$XFD$76" dn="Z_DAEDC989_02E7_4319_8354_59410ACF3F1F_.wvu.Rows" sId="1"/>
    <undo index="8" exp="area" ref3D="1" dr="$A$72:$XFD$72" dn="Z_DAEDC989_02E7_4319_8354_59410ACF3F1F_.wvu.Rows" sId="1"/>
    <undo index="6" exp="area" ref3D="1" dr="$A$60:$XFD$60" dn="Z_DAEDC989_02E7_4319_8354_59410ACF3F1F_.wvu.Rows" sId="1"/>
    <undo index="10" exp="area" ref3D="1" dr="$A$76:$XFD$76" dn="Z_B6B60ED6_A6CC_4DA7_A8CA_5E6DB52D5A87_.wvu.Rows" sId="1"/>
    <undo index="8" exp="area" ref3D="1" dr="$A$72:$XFD$72" dn="Z_B6B60ED6_A6CC_4DA7_A8CA_5E6DB52D5A87_.wvu.Rows" sId="1"/>
    <undo index="6" exp="area" ref3D="1" dr="$A$60:$XFD$60" dn="Z_B6B60ED6_A6CC_4DA7_A8CA_5E6DB52D5A87_.wvu.Rows" sId="1"/>
    <undo index="10" exp="area" ref3D="1" dr="$A$76:$XFD$76" dn="Z_BBF6B43F_E0FC_43DF_B91C_674F6AB4B556_.wvu.Rows" sId="1"/>
    <undo index="8" exp="area" ref3D="1" dr="$A$72:$XFD$72" dn="Z_BBF6B43F_E0FC_43DF_B91C_674F6AB4B556_.wvu.Rows" sId="1"/>
    <undo index="6" exp="area" ref3D="1" dr="$A$60:$XFD$60" dn="Z_BBF6B43F_E0FC_43DF_B91C_674F6AB4B556_.wvu.Rows" sId="1"/>
    <undo index="10" exp="area" ref3D="1" dr="$A$76:$XFD$76" dn="Z_AB9978E4_895D_4050_8F07_2484E22632D1_.wvu.Rows" sId="1"/>
    <undo index="8" exp="area" ref3D="1" dr="$A$72:$XFD$72" dn="Z_AB9978E4_895D_4050_8F07_2484E22632D1_.wvu.Rows" sId="1"/>
    <undo index="6" exp="area" ref3D="1" dr="$A$60:$XFD$60" dn="Z_AB9978E4_895D_4050_8F07_2484E22632D1_.wvu.Rows" sId="1"/>
    <undo index="10" exp="area" ref3D="1" dr="$A$76:$XFD$76" dn="Z_AFADB96A_0516_43C1_9F1B_0604F3CAC04A_.wvu.Rows" sId="1"/>
    <undo index="8" exp="area" ref3D="1" dr="$A$72:$XFD$72" dn="Z_AFADB96A_0516_43C1_9F1B_0604F3CAC04A_.wvu.Rows" sId="1"/>
    <undo index="6" exp="area" ref3D="1" dr="$A$60:$XFD$60" dn="Z_AFADB96A_0516_43C1_9F1B_0604F3CAC04A_.wvu.Rows" sId="1"/>
  </rrc>
  <rfmt sheetId="1" sqref="B58" start="0" length="0">
    <dxf>
      <border outline="0">
        <top style="thin">
          <color indexed="64"/>
        </top>
      </border>
    </dxf>
  </rfmt>
  <rcc rId="245" sId="1">
    <nc r="C58" t="inlineStr">
      <is>
        <t>Всего</t>
      </is>
    </nc>
  </rcc>
  <rcc rId="246" sId="1">
    <nc r="D58">
      <f>D59</f>
    </nc>
  </rcc>
  <rcc rId="247" sId="1">
    <nc r="E58">
      <f>E59</f>
    </nc>
  </rcc>
  <rcc rId="248" sId="1">
    <nc r="F58">
      <f>G58</f>
    </nc>
  </rcc>
  <rcc rId="249" sId="1">
    <nc r="G58">
      <f>G59</f>
    </nc>
  </rcc>
  <rcc rId="250" sId="1">
    <nc r="H58">
      <f>IFERROR(G58/D58*100,0)</f>
    </nc>
  </rcc>
  <rcc rId="251" sId="1">
    <nc r="I58">
      <f>IFERROR(G58/E58*100,0)</f>
    </nc>
  </rcc>
  <rcc rId="252" sId="1" odxf="1" dxf="1">
    <nc r="J58">
      <f>J59</f>
    </nc>
    <odxf>
      <protection locked="0"/>
    </odxf>
    <ndxf>
      <protection locked="1"/>
    </ndxf>
  </rcc>
  <rcc rId="253" sId="1" odxf="1" dxf="1">
    <nc r="K58">
      <f>K59</f>
    </nc>
    <odxf>
      <protection locked="0"/>
    </odxf>
    <ndxf>
      <protection locked="1"/>
    </ndxf>
  </rcc>
  <rcc rId="254" sId="1" odxf="1" dxf="1">
    <nc r="L58">
      <f>L59</f>
    </nc>
    <odxf>
      <protection locked="0"/>
    </odxf>
    <ndxf>
      <protection locked="1"/>
    </ndxf>
  </rcc>
  <rcc rId="255" sId="1" odxf="1" dxf="1">
    <nc r="M58">
      <f>M59</f>
    </nc>
    <odxf>
      <protection locked="0"/>
    </odxf>
    <ndxf>
      <protection locked="1"/>
    </ndxf>
  </rcc>
  <rcc rId="256" sId="1" odxf="1" dxf="1">
    <nc r="N58">
      <f>N59</f>
    </nc>
    <odxf>
      <protection locked="0"/>
    </odxf>
    <ndxf>
      <protection locked="1"/>
    </ndxf>
  </rcc>
  <rcc rId="257" sId="1" odxf="1" dxf="1">
    <nc r="O58">
      <f>O59</f>
    </nc>
    <odxf>
      <protection locked="0"/>
    </odxf>
    <ndxf>
      <protection locked="1"/>
    </ndxf>
  </rcc>
  <rcc rId="258" sId="1" odxf="1" dxf="1">
    <nc r="P58">
      <f>P59</f>
    </nc>
    <odxf>
      <protection locked="0"/>
    </odxf>
    <ndxf>
      <protection locked="1"/>
    </ndxf>
  </rcc>
  <rcc rId="259" sId="1" odxf="1" dxf="1">
    <nc r="Q58">
      <f>Q59</f>
    </nc>
    <odxf>
      <protection locked="0"/>
    </odxf>
    <ndxf>
      <protection locked="1"/>
    </ndxf>
  </rcc>
  <rcc rId="260" sId="1" odxf="1" dxf="1">
    <nc r="R58">
      <f>R59</f>
    </nc>
    <odxf>
      <protection locked="0"/>
    </odxf>
    <ndxf>
      <protection locked="1"/>
    </ndxf>
  </rcc>
  <rcc rId="261" sId="1" odxf="1" dxf="1">
    <nc r="S58">
      <f>S59</f>
    </nc>
    <odxf>
      <protection locked="0"/>
    </odxf>
    <ndxf>
      <protection locked="1"/>
    </ndxf>
  </rcc>
  <rcc rId="262" sId="1" odxf="1" dxf="1">
    <nc r="T58">
      <f>T59</f>
    </nc>
    <odxf>
      <protection locked="0"/>
    </odxf>
    <ndxf>
      <protection locked="1"/>
    </ndxf>
  </rcc>
  <rcc rId="263" sId="1" odxf="1" dxf="1">
    <nc r="U58">
      <f>U59</f>
    </nc>
    <odxf>
      <protection locked="0"/>
    </odxf>
    <ndxf>
      <protection locked="1"/>
    </ndxf>
  </rcc>
  <rcc rId="264" sId="1" odxf="1" dxf="1">
    <nc r="V58">
      <f>V59</f>
    </nc>
    <odxf>
      <protection locked="0"/>
    </odxf>
    <ndxf>
      <protection locked="1"/>
    </ndxf>
  </rcc>
  <rcc rId="265" sId="1" odxf="1" dxf="1">
    <nc r="W58">
      <f>W59</f>
    </nc>
    <odxf>
      <protection locked="0"/>
    </odxf>
    <ndxf>
      <protection locked="1"/>
    </ndxf>
  </rcc>
  <rcc rId="266" sId="1" odxf="1" dxf="1">
    <nc r="X58">
      <f>X59</f>
    </nc>
    <odxf>
      <protection locked="0"/>
    </odxf>
    <ndxf>
      <protection locked="1"/>
    </ndxf>
  </rcc>
  <rcc rId="267" sId="1" odxf="1" dxf="1">
    <nc r="Y58">
      <f>Y59</f>
    </nc>
    <odxf>
      <protection locked="0"/>
    </odxf>
    <ndxf>
      <protection locked="1"/>
    </ndxf>
  </rcc>
  <rcc rId="268" sId="1" odxf="1" dxf="1">
    <nc r="Z58">
      <f>Z59</f>
    </nc>
    <odxf>
      <protection locked="0"/>
    </odxf>
    <ndxf>
      <protection locked="1"/>
    </ndxf>
  </rcc>
  <rcc rId="269" sId="1" odxf="1" dxf="1">
    <nc r="AA58">
      <f>AA59</f>
    </nc>
    <odxf>
      <protection locked="0"/>
    </odxf>
    <ndxf>
      <protection locked="1"/>
    </ndxf>
  </rcc>
  <rcc rId="270" sId="1" odxf="1" dxf="1">
    <nc r="AB58">
      <f>AB59</f>
    </nc>
    <odxf>
      <protection locked="0"/>
    </odxf>
    <ndxf>
      <protection locked="1"/>
    </ndxf>
  </rcc>
  <rcc rId="271" sId="1" odxf="1" dxf="1">
    <nc r="AC58">
      <f>AC59</f>
    </nc>
    <odxf>
      <protection locked="0"/>
    </odxf>
    <ndxf>
      <protection locked="1"/>
    </ndxf>
  </rcc>
  <rcc rId="272" sId="1" odxf="1" dxf="1">
    <nc r="AD58">
      <f>AD59</f>
    </nc>
    <odxf>
      <protection locked="0"/>
    </odxf>
    <ndxf>
      <protection locked="1"/>
    </ndxf>
  </rcc>
  <rcc rId="273" sId="1" odxf="1" dxf="1">
    <nc r="AE58">
      <f>AE59</f>
    </nc>
    <odxf>
      <protection locked="0"/>
    </odxf>
    <ndxf>
      <protection locked="1"/>
    </ndxf>
  </rcc>
  <rcc rId="274" sId="1" odxf="1" dxf="1">
    <nc r="AF58">
      <f>AF59</f>
    </nc>
    <odxf>
      <protection locked="0"/>
    </odxf>
    <ndxf>
      <protection locked="1"/>
    </ndxf>
  </rcc>
  <rcc rId="275" sId="1" odxf="1" dxf="1">
    <nc r="AG58">
      <f>AG59</f>
    </nc>
    <odxf>
      <protection locked="0"/>
    </odxf>
    <ndxf>
      <protection locked="1"/>
    </ndxf>
  </rcc>
  <rcc rId="276" sId="1">
    <nc r="C59" t="inlineStr">
      <is>
        <t>бюджет автономного округа</t>
      </is>
    </nc>
  </rcc>
  <rcc rId="277" sId="1">
    <nc r="D59">
      <f>SUM(J59,L59,N59,P59,R59,T59,V59,X59,Z59,AB59,AD59,AF59)</f>
    </nc>
  </rcc>
  <rcc rId="278" sId="1">
    <nc r="E59">
      <f>J59+L59+N59+P59+R59+T59+V59+X59+Z59+AB59</f>
    </nc>
  </rcc>
  <rcc rId="279" sId="1">
    <nc r="F59">
      <f>G59</f>
    </nc>
  </rcc>
  <rcc rId="280" sId="1">
    <nc r="G59">
      <f>SUM(K59,M59,O59,Q59,S59,U59,W59,Y59,AA59,AC59,AE59,AG59)</f>
    </nc>
  </rcc>
  <rcc rId="281" sId="1">
    <nc r="H59">
      <f>IFERROR(G59/D59*100,0)</f>
    </nc>
  </rcc>
  <rcc rId="282" sId="1">
    <nc r="I59">
      <f>IFERROR(G59/E59*100,0)</f>
    </nc>
  </rcc>
  <rcc rId="283" sId="1" numFmtId="4">
    <nc r="AG59">
      <v>0</v>
    </nc>
  </rcc>
  <rrc rId="284" sId="1" ref="A60:XFD60" action="deleteRow">
    <undo index="10" exp="area" ref3D="1" dr="$A$78:$XFD$78" dn="Z_2A5A11D4_90C6_4A3E_8165_7D7BD634B22F_.wvu.Rows" sId="1"/>
    <undo index="8" exp="area" ref3D="1" dr="$A$74:$XFD$74" dn="Z_2A5A11D4_90C6_4A3E_8165_7D7BD634B22F_.wvu.Rows" sId="1"/>
    <undo index="6" exp="area" ref3D="1" dr="$A$62:$XFD$62" dn="Z_2A5A11D4_90C6_4A3E_8165_7D7BD634B22F_.wvu.Rows" sId="1"/>
    <undo index="10" exp="area" ref3D="1" dr="$A$78:$XFD$78" dn="Z_21E1D423_7B38_4272_8354_09B4DB62C9EB_.wvu.Rows" sId="1"/>
    <undo index="8" exp="area" ref3D="1" dr="$A$74:$XFD$74" dn="Z_21E1D423_7B38_4272_8354_09B4DB62C9EB_.wvu.Rows" sId="1"/>
    <undo index="6" exp="area" ref3D="1" dr="$A$62:$XFD$62" dn="Z_21E1D423_7B38_4272_8354_09B4DB62C9EB_.wvu.Rows" sId="1"/>
    <undo index="10" exp="area" ref3D="1" dr="$A$78:$XFD$78" dn="Z_2940A182_D1A7_43C5_8D6E_965BED4371B0_.wvu.Rows" sId="1"/>
    <undo index="8" exp="area" ref3D="1" dr="$A$74:$XFD$74" dn="Z_2940A182_D1A7_43C5_8D6E_965BED4371B0_.wvu.Rows" sId="1"/>
    <undo index="6" exp="area" ref3D="1" dr="$A$62:$XFD$62" dn="Z_2940A182_D1A7_43C5_8D6E_965BED4371B0_.wvu.Rows" sId="1"/>
    <undo index="10" exp="area" ref3D="1" dr="$A$78:$XFD$78" dn="Z_A4AF2100_C59D_4F60_9EAB_56D9103463F7_.wvu.Rows" sId="1"/>
    <undo index="8" exp="area" ref3D="1" dr="$A$74:$XFD$74" dn="Z_A4AF2100_C59D_4F60_9EAB_56D9103463F7_.wvu.Rows" sId="1"/>
    <undo index="6" exp="area" ref3D="1" dr="$A$62:$XFD$62" dn="Z_A4AF2100_C59D_4F60_9EAB_56D9103463F7_.wvu.Rows" sId="1"/>
    <undo index="10" exp="area" ref3D="1" dr="$A$78:$XFD$78" dn="Z_A0E2FBF6_E560_4343_8BE6_217DC798135B_.wvu.Rows" sId="1"/>
    <undo index="8" exp="area" ref3D="1" dr="$A$74:$XFD$74" dn="Z_A0E2FBF6_E560_4343_8BE6_217DC798135B_.wvu.Rows" sId="1"/>
    <undo index="6" exp="area" ref3D="1" dr="$A$62:$XFD$62" dn="Z_A0E2FBF6_E560_4343_8BE6_217DC798135B_.wvu.Rows" sId="1"/>
    <undo index="8" exp="area" ref3D="1" dr="$A$78:$XFD$78" dn="Z_996EC2F0_F6EC_4E63_A83E_34865157BD8D_.wvu.Rows" sId="1"/>
    <undo index="6" exp="area" ref3D="1" dr="$A$74:$XFD$74" dn="Z_996EC2F0_F6EC_4E63_A83E_34865157BD8D_.wvu.Rows" sId="1"/>
    <undo index="10" exp="area" ref3D="1" dr="$A$78:$XFD$78" dn="Z_7C5A2A36_3D69_43D9_9018_A52C27EC78F9_.wvu.Rows" sId="1"/>
    <undo index="8" exp="area" ref3D="1" dr="$A$74:$XFD$74" dn="Z_7C5A2A36_3D69_43D9_9018_A52C27EC78F9_.wvu.Rows" sId="1"/>
    <undo index="6" exp="area" ref3D="1" dr="$A$62:$XFD$62" dn="Z_7C5A2A36_3D69_43D9_9018_A52C27EC78F9_.wvu.Rows" sId="1"/>
    <undo index="10" exp="area" ref3D="1" dr="$A$78:$XFD$78" dn="Z_562453CE_35F5_40A3_AD14_6399D1197C99_.wvu.Rows" sId="1"/>
    <undo index="8" exp="area" ref3D="1" dr="$A$74:$XFD$74" dn="Z_562453CE_35F5_40A3_AD14_6399D1197C99_.wvu.Rows" sId="1"/>
    <undo index="6" exp="area" ref3D="1" dr="$A$62:$XFD$62" dn="Z_562453CE_35F5_40A3_AD14_6399D1197C99_.wvu.Rows" sId="1"/>
    <undo index="10" exp="area" ref3D="1" dr="$A$78:$XFD$78" dn="Z_60A1F930_4BEC_460A_8E14_01E47F6DD055_.wvu.Rows" sId="1"/>
    <undo index="8" exp="area" ref3D="1" dr="$A$74:$XFD$74" dn="Z_60A1F930_4BEC_460A_8E14_01E47F6DD055_.wvu.Rows" sId="1"/>
    <undo index="6" exp="area" ref3D="1" dr="$A$62:$XFD$62" dn="Z_60A1F930_4BEC_460A_8E14_01E47F6DD055_.wvu.Rows" sId="1"/>
    <undo index="10" exp="area" ref3D="1" dr="$A$78:$XFD$78" dn="Z_5DF2C78B_5EE4_439D_8D72_8D3A913B65F9_.wvu.Rows" sId="1"/>
    <undo index="8" exp="area" ref3D="1" dr="$A$74:$XFD$74" dn="Z_5DF2C78B_5EE4_439D_8D72_8D3A913B65F9_.wvu.Rows" sId="1"/>
    <undo index="6" exp="area" ref3D="1" dr="$A$62:$XFD$62" dn="Z_5DF2C78B_5EE4_439D_8D72_8D3A913B65F9_.wvu.Rows" sId="1"/>
    <undo index="10" exp="area" ref3D="1" dr="$A$78:$XFD$78" dn="Z_519948E4_0B24_465F_9D9E_44BE50D1D647_.wvu.Rows" sId="1"/>
    <undo index="8" exp="area" ref3D="1" dr="$A$74:$XFD$74" dn="Z_519948E4_0B24_465F_9D9E_44BE50D1D647_.wvu.Rows" sId="1"/>
    <undo index="6" exp="area" ref3D="1" dr="$A$62:$XFD$62" dn="Z_519948E4_0B24_465F_9D9E_44BE50D1D647_.wvu.Rows" sId="1"/>
    <undo index="10" exp="area" ref3D="1" dr="$A$78:$XFD$78" dn="Z_4E221C17_6DAB_4FFA_B18C_35D4D85AF6E8_.wvu.Rows" sId="1"/>
    <undo index="8" exp="area" ref3D="1" dr="$A$74:$XFD$74" dn="Z_4E221C17_6DAB_4FFA_B18C_35D4D85AF6E8_.wvu.Rows" sId="1"/>
    <undo index="6" exp="area" ref3D="1" dr="$A$62:$XFD$62" dn="Z_4E221C17_6DAB_4FFA_B18C_35D4D85AF6E8_.wvu.Rows" sId="1"/>
    <undo index="10" exp="area" ref3D="1" dr="$A$78:$XFD$78" dn="Z_30B635D9_57DB_47D5_8A0F_4B30DD769960_.wvu.Rows" sId="1"/>
    <undo index="8" exp="area" ref3D="1" dr="$A$74:$XFD$74" dn="Z_30B635D9_57DB_47D5_8A0F_4B30DD769960_.wvu.Rows" sId="1"/>
    <undo index="6" exp="area" ref3D="1" dr="$A$62:$XFD$62" dn="Z_30B635D9_57DB_47D5_8A0F_4B30DD769960_.wvu.Rows" sId="1"/>
    <undo index="10" exp="area" ref3D="1" dr="$A$78:$XFD$78" dn="Z_F528EF6A_C113_49B5_B25F_D660F898CBFB_.wvu.Rows" sId="1"/>
    <undo index="8" exp="area" ref3D="1" dr="$A$74:$XFD$74" dn="Z_F528EF6A_C113_49B5_B25F_D660F898CBFB_.wvu.Rows" sId="1"/>
    <undo index="6" exp="area" ref3D="1" dr="$A$62:$XFD$62" dn="Z_F528EF6A_C113_49B5_B25F_D660F898CBFB_.wvu.Rows" sId="1"/>
    <undo index="10" exp="area" ref3D="1" dr="$A$78:$XFD$78" dn="Z_EA46B61D_849C_4795_A4FF_F8F1740022EB_.wvu.Rows" sId="1"/>
    <undo index="8" exp="area" ref3D="1" dr="$A$74:$XFD$74" dn="Z_EA46B61D_849C_4795_A4FF_F8F1740022EB_.wvu.Rows" sId="1"/>
    <undo index="6" exp="area" ref3D="1" dr="$A$62:$XFD$62" dn="Z_EA46B61D_849C_4795_A4FF_F8F1740022EB_.wvu.Rows" sId="1"/>
    <undo index="10" exp="area" ref3D="1" dr="$A$78:$XFD$78" dn="Z_20A05A62_CBE8_4538_BBC3_2AD9D3B8FAC0_.wvu.Rows" sId="1"/>
    <undo index="8" exp="area" ref3D="1" dr="$A$74:$XFD$74" dn="Z_20A05A62_CBE8_4538_BBC3_2AD9D3B8FAC0_.wvu.Rows" sId="1"/>
    <undo index="6" exp="area" ref3D="1" dr="$A$62:$XFD$62" dn="Z_20A05A62_CBE8_4538_BBC3_2AD9D3B8FAC0_.wvu.Rows" sId="1"/>
    <undo index="10" exp="area" ref3D="1" dr="$A$78:$XFD$78" dn="Z_133BB3F8_8DD4_4AEF_8CD6_A5FB14681329_.wvu.Rows" sId="1"/>
    <undo index="8" exp="area" ref3D="1" dr="$A$74:$XFD$74" dn="Z_133BB3F8_8DD4_4AEF_8CD6_A5FB14681329_.wvu.Rows" sId="1"/>
    <undo index="6" exp="area" ref3D="1" dr="$A$62:$XFD$62" dn="Z_133BB3F8_8DD4_4AEF_8CD6_A5FB14681329_.wvu.Rows" sId="1"/>
    <undo index="10" exp="area" ref3D="1" dr="$A$78:$XFD$78" dn="Z_A7640BE7_6438_4196_9A67_AF5B992A1E70_.wvu.Rows" sId="1"/>
    <undo index="8" exp="area" ref3D="1" dr="$A$74:$XFD$74" dn="Z_A7640BE7_6438_4196_9A67_AF5B992A1E70_.wvu.Rows" sId="1"/>
    <undo index="6" exp="area" ref3D="1" dr="$A$62:$XFD$62" dn="Z_A7640BE7_6438_4196_9A67_AF5B992A1E70_.wvu.Rows" sId="1"/>
    <undo index="10" exp="area" ref3D="1" dr="$A$78:$XFD$78" dn="Z_C68436F4_AFB3_4D1D_A7C4_56D0C677D68E_.wvu.Rows" sId="1"/>
    <undo index="8" exp="area" ref3D="1" dr="$A$74:$XFD$74" dn="Z_C68436F4_AFB3_4D1D_A7C4_56D0C677D68E_.wvu.Rows" sId="1"/>
    <undo index="6" exp="area" ref3D="1" dr="$A$62:$XFD$62" dn="Z_C68436F4_AFB3_4D1D_A7C4_56D0C677D68E_.wvu.Rows" sId="1"/>
    <undo index="10" exp="area" ref3D="1" dr="$A$78:$XFD$78" dn="Z_C282AA4E_1BB5_4296_9AC6_844C0F88E5FC_.wvu.Rows" sId="1"/>
    <undo index="8" exp="area" ref3D="1" dr="$A$74:$XFD$74" dn="Z_C282AA4E_1BB5_4296_9AC6_844C0F88E5FC_.wvu.Rows" sId="1"/>
    <undo index="6" exp="area" ref3D="1" dr="$A$62:$XFD$62" dn="Z_C282AA4E_1BB5_4296_9AC6_844C0F88E5FC_.wvu.Rows" sId="1"/>
    <undo index="10" exp="area" ref3D="1" dr="$A$78:$XFD$78" dn="Z_C7DC638A_7F60_46C9_A1FB_9ADEAE87F332_.wvu.Rows" sId="1"/>
    <undo index="8" exp="area" ref3D="1" dr="$A$74:$XFD$74" dn="Z_C7DC638A_7F60_46C9_A1FB_9ADEAE87F332_.wvu.Rows" sId="1"/>
    <undo index="6" exp="area" ref3D="1" dr="$A$62:$XFD$62" dn="Z_C7DC638A_7F60_46C9_A1FB_9ADEAE87F332_.wvu.Rows" sId="1"/>
    <undo index="10" exp="area" ref3D="1" dr="$A$78:$XFD$78" dn="Z_C01DC081_B312_4391_B775_A8CE76216D71_.wvu.Rows" sId="1"/>
    <undo index="8" exp="area" ref3D="1" dr="$A$74:$XFD$74" dn="Z_C01DC081_B312_4391_B775_A8CE76216D71_.wvu.Rows" sId="1"/>
    <undo index="6" exp="area" ref3D="1" dr="$A$62:$XFD$62" dn="Z_C01DC081_B312_4391_B775_A8CE76216D71_.wvu.Rows" sId="1"/>
    <undo index="10" exp="area" ref3D="1" dr="$A$78:$XFD$78" dn="Z_DAEDC989_02E7_4319_8354_59410ACF3F1F_.wvu.Rows" sId="1"/>
    <undo index="8" exp="area" ref3D="1" dr="$A$74:$XFD$74" dn="Z_DAEDC989_02E7_4319_8354_59410ACF3F1F_.wvu.Rows" sId="1"/>
    <undo index="6" exp="area" ref3D="1" dr="$A$62:$XFD$62" dn="Z_DAEDC989_02E7_4319_8354_59410ACF3F1F_.wvu.Rows" sId="1"/>
    <undo index="10" exp="area" ref3D="1" dr="$A$78:$XFD$78" dn="Z_B6B60ED6_A6CC_4DA7_A8CA_5E6DB52D5A87_.wvu.Rows" sId="1"/>
    <undo index="8" exp="area" ref3D="1" dr="$A$74:$XFD$74" dn="Z_B6B60ED6_A6CC_4DA7_A8CA_5E6DB52D5A87_.wvu.Rows" sId="1"/>
    <undo index="6" exp="area" ref3D="1" dr="$A$62:$XFD$62" dn="Z_B6B60ED6_A6CC_4DA7_A8CA_5E6DB52D5A87_.wvu.Rows" sId="1"/>
    <undo index="10" exp="area" ref3D="1" dr="$A$78:$XFD$78" dn="Z_BBF6B43F_E0FC_43DF_B91C_674F6AB4B556_.wvu.Rows" sId="1"/>
    <undo index="8" exp="area" ref3D="1" dr="$A$74:$XFD$74" dn="Z_BBF6B43F_E0FC_43DF_B91C_674F6AB4B556_.wvu.Rows" sId="1"/>
    <undo index="6" exp="area" ref3D="1" dr="$A$62:$XFD$62" dn="Z_BBF6B43F_E0FC_43DF_B91C_674F6AB4B556_.wvu.Rows" sId="1"/>
    <undo index="10" exp="area" ref3D="1" dr="$A$78:$XFD$78" dn="Z_AB9978E4_895D_4050_8F07_2484E22632D1_.wvu.Rows" sId="1"/>
    <undo index="8" exp="area" ref3D="1" dr="$A$74:$XFD$74" dn="Z_AB9978E4_895D_4050_8F07_2484E22632D1_.wvu.Rows" sId="1"/>
    <undo index="6" exp="area" ref3D="1" dr="$A$62:$XFD$62" dn="Z_AB9978E4_895D_4050_8F07_2484E22632D1_.wvu.Rows" sId="1"/>
    <undo index="10" exp="area" ref3D="1" dr="$A$78:$XFD$78" dn="Z_AFADB96A_0516_43C1_9F1B_0604F3CAC04A_.wvu.Rows" sId="1"/>
    <undo index="8" exp="area" ref3D="1" dr="$A$74:$XFD$74" dn="Z_AFADB96A_0516_43C1_9F1B_0604F3CAC04A_.wvu.Rows" sId="1"/>
    <undo index="6" exp="area" ref3D="1" dr="$A$62:$XFD$62" dn="Z_AFADB96A_0516_43C1_9F1B_0604F3CAC04A_.wvu.Rows" sId="1"/>
    <rfmt sheetId="1" xfDxf="1" s="1" sqref="A60:XFD60" start="0" length="0">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rfmt>
    <rfmt sheetId="1" sqref="A60" start="0" length="0">
      <dxf>
        <font>
          <sz val="12"/>
          <color auto="1"/>
          <name val="Times New Roman"/>
          <scheme val="none"/>
        </font>
        <alignment horizontal="center" readingOrder="0"/>
        <border outline="0">
          <left style="thin">
            <color indexed="64"/>
          </left>
          <right style="thin">
            <color indexed="64"/>
          </right>
        </border>
      </dxf>
    </rfmt>
    <rfmt sheetId="1" sqref="B60" start="0" length="0">
      <dxf>
        <font>
          <i/>
          <sz val="12"/>
          <color auto="1"/>
          <name val="Times New Roman"/>
          <scheme val="none"/>
        </font>
        <alignment horizontal="right" wrapText="1" readingOrder="0"/>
        <border outline="0">
          <left style="thin">
            <color indexed="64"/>
          </left>
          <right style="thin">
            <color indexed="64"/>
          </right>
          <bottom style="thin">
            <color indexed="64"/>
          </bottom>
        </border>
      </dxf>
    </rfmt>
    <rfmt sheetId="1" sqref="C60" start="0" length="0">
      <dxf>
        <font>
          <color auto="1"/>
          <name val="Times New Roman"/>
          <scheme val="none"/>
        </font>
        <alignment horizontal="left" wrapText="1" readingOrder="0"/>
        <border outline="0">
          <left style="thin">
            <color indexed="64"/>
          </left>
          <right style="thin">
            <color indexed="64"/>
          </right>
          <top style="thin">
            <color indexed="64"/>
          </top>
          <bottom style="thin">
            <color indexed="64"/>
          </bottom>
        </border>
      </dxf>
    </rfmt>
    <rfmt sheetId="1" sqref="D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dxf>
    </rfmt>
    <rfmt sheetId="1" sqref="E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dxf>
    </rfmt>
    <rfmt sheetId="1" sqref="F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dxf>
    </rfmt>
    <rfmt sheetId="1" sqref="G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dxf>
    </rfmt>
    <rfmt sheetId="1" sqref="H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dxf>
    </rfmt>
    <rfmt sheetId="1" sqref="I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dxf>
    </rfmt>
    <rfmt sheetId="1" sqref="J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K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L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M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N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O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P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Q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R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S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T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U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V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W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X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Y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Z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A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B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C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D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E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F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G60" start="0" length="0">
      <dxf>
        <font>
          <sz val="12"/>
          <color auto="1"/>
          <name val="Times New Roman"/>
          <scheme val="none"/>
        </font>
        <numFmt numFmtId="166" formatCode="#,##0.00_ ;[Red]\-#,##0.00\ "/>
        <alignment horizontal="center" readingOrder="0"/>
        <border outline="0">
          <left style="thin">
            <color indexed="64"/>
          </left>
          <right style="thin">
            <color indexed="64"/>
          </right>
          <top style="thin">
            <color indexed="64"/>
          </top>
          <bottom style="thin">
            <color indexed="64"/>
          </bottom>
        </border>
        <protection locked="0"/>
      </dxf>
    </rfmt>
    <rfmt sheetId="1" sqref="AH60" start="0" length="0">
      <dxf>
        <font>
          <sz val="12"/>
          <color auto="1"/>
          <name val="Times New Roman"/>
          <scheme val="none"/>
        </font>
        <alignment wrapText="1" readingOrder="0"/>
        <border outline="0">
          <left style="thin">
            <color indexed="64"/>
          </left>
          <right style="thin">
            <color indexed="64"/>
          </right>
          <top style="thin">
            <color indexed="64"/>
          </top>
          <bottom style="thin">
            <color indexed="64"/>
          </bottom>
        </border>
      </dxf>
    </rfmt>
    <rfmt sheetId="1" sqref="AI60" start="0" length="0">
      <dxf>
        <font>
          <sz val="16"/>
          <color auto="1"/>
        </font>
        <numFmt numFmtId="166" formatCode="#,##0.00_ ;[Red]\-#,##0.00\ "/>
      </dxf>
    </rfmt>
  </rrc>
  <rcc rId="285" sId="1">
    <nc r="B58" t="inlineStr">
      <is>
        <t>1.1.7. Компенсация расходов, возникающих в связи с освобождением от взимания родительской платы за присмотр и уход за детьми в частных организациях, осуществляющих образовательную деятельность по реализации образовательных программ дошкольного образования</t>
      </is>
    </nc>
  </rcc>
  <rcc rId="286" sId="1" numFmtId="4">
    <nc r="AF59">
      <v>33.32</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7" sId="1">
    <oc r="K34">
      <f>K68</f>
    </oc>
    <nc r="K34">
      <f>K68</f>
    </nc>
  </rcc>
  <rcc rId="288" sId="1">
    <oc r="J39">
      <f>J47+J49+J51+J54+J56+J44</f>
    </oc>
    <nc r="J39">
      <f>J47+J49+J51+J54+J56+J44+J58</f>
    </nc>
  </rcc>
  <rcc rId="289" sId="1">
    <oc r="K39">
      <f>K47+K49+K51+K54+K56</f>
    </oc>
    <nc r="K39">
      <f>K47+K49+K51+K54+K56+K44+K58</f>
    </nc>
  </rcc>
  <rcc rId="290" sId="1">
    <oc r="L39">
      <f>L47+L49+L51+L54+L56</f>
    </oc>
    <nc r="L39">
      <f>L47+L49+L51+L54+L56+L44+L58</f>
    </nc>
  </rcc>
  <rcc rId="291" sId="1">
    <oc r="M39">
      <f>M47+M49+M51+M54+M56</f>
    </oc>
    <nc r="M39">
      <f>M47+M49+M51+M54+M56+M44+M58</f>
    </nc>
  </rcc>
  <rcc rId="292" sId="1">
    <oc r="N39">
      <f>N47+N49+N51+N54+N56</f>
    </oc>
    <nc r="N39">
      <f>N47+N49+N51+N54+N56+N44+N58</f>
    </nc>
  </rcc>
  <rcc rId="293" sId="1">
    <oc r="O39">
      <f>O47+O49+O51+O54+O56</f>
    </oc>
    <nc r="O39">
      <f>O47+O49+O51+O54+O56+O44+O58</f>
    </nc>
  </rcc>
  <rcc rId="294" sId="1">
    <oc r="P39">
      <f>P47+P49+P51+P54+P56</f>
    </oc>
    <nc r="P39">
      <f>P47+P49+P51+P54+P56+P44+P58</f>
    </nc>
  </rcc>
  <rcc rId="295" sId="1">
    <oc r="Q39">
      <f>Q47+Q49+Q51+Q54+Q56</f>
    </oc>
    <nc r="Q39">
      <f>Q47+Q49+Q51+Q54+Q56+Q44+Q58</f>
    </nc>
  </rcc>
  <rcc rId="296" sId="1">
    <oc r="R39">
      <f>R47+R49+R51+R54+R56</f>
    </oc>
    <nc r="R39">
      <f>R47+R49+R51+R54+R56+R44+R58</f>
    </nc>
  </rcc>
  <rcc rId="297" sId="1">
    <oc r="S39">
      <f>S47+S49+S51+S54+S56</f>
    </oc>
    <nc r="S39">
      <f>S47+S49+S51+S54+S56+S44+S58</f>
    </nc>
  </rcc>
  <rcc rId="298" sId="1">
    <oc r="T39">
      <f>T47+T49+T51+T54+T56</f>
    </oc>
    <nc r="T39">
      <f>T47+T49+T51+T54+T56+T44+T58</f>
    </nc>
  </rcc>
  <rcc rId="299" sId="1">
    <oc r="U39">
      <f>U47+U49+U51+U54+U56</f>
    </oc>
    <nc r="U39">
      <f>U47+U49+U51+U54+U56+U44+U58</f>
    </nc>
  </rcc>
  <rcc rId="300" sId="1">
    <oc r="V39">
      <f>V47+V49+V51+V54+V56</f>
    </oc>
    <nc r="V39">
      <f>V47+V49+V51+V54+V56+V44+V58</f>
    </nc>
  </rcc>
  <rcc rId="301" sId="1">
    <oc r="W39">
      <f>W47+W49+W51+W54+W56</f>
    </oc>
    <nc r="W39">
      <f>W47+W49+W51+W54+W56+W44+W58</f>
    </nc>
  </rcc>
  <rcc rId="302" sId="1">
    <oc r="X39">
      <f>X47+X49+X51+X54+X56</f>
    </oc>
    <nc r="X39">
      <f>X47+X49+X51+X54+X56+X44+X58</f>
    </nc>
  </rcc>
  <rcc rId="303" sId="1">
    <oc r="Y39">
      <f>Y47+Y49+Y51+Y54+Y56</f>
    </oc>
    <nc r="Y39">
      <f>Y47+Y49+Y51+Y54+Y56+Y44+Y58</f>
    </nc>
  </rcc>
  <rcc rId="304" sId="1">
    <oc r="Z39">
      <f>Z47+Z49+Z51+Z54+Z56</f>
    </oc>
    <nc r="Z39">
      <f>Z47+Z49+Z51+Z54+Z56+Z44+Z58</f>
    </nc>
  </rcc>
  <rcc rId="305" sId="1">
    <oc r="AA39">
      <f>AA47+AA49+AA51+AA54+AA56</f>
    </oc>
    <nc r="AA39">
      <f>AA47+AA49+AA51+AA54+AA56+AA44+AA58</f>
    </nc>
  </rcc>
  <rcc rId="306" sId="1">
    <oc r="AB39">
      <f>AB47+AB49+AB51+AB54+AB56</f>
    </oc>
    <nc r="AB39">
      <f>AB47+AB49+AB51+AB54+AB56+AB44+AB58</f>
    </nc>
  </rcc>
  <rcc rId="307" sId="1">
    <oc r="AC39">
      <f>AC47+AC49+AC51+AC54+AC56</f>
    </oc>
    <nc r="AC39">
      <f>AC47+AC49+AC51+AC54+AC56+AC44+AC58</f>
    </nc>
  </rcc>
  <rcc rId="308" sId="1">
    <oc r="AD39">
      <f>AD47+AD49+AD51+AD54+AD56</f>
    </oc>
    <nc r="AD39">
      <f>AD47+AD49+AD51+AD54+AD56+AD44+AD58</f>
    </nc>
  </rcc>
  <rcc rId="309" sId="1">
    <oc r="AE39">
      <f>AE47+AE49+AE51+AE54+AE56</f>
    </oc>
    <nc r="AE39">
      <f>AE47+AE49+AE51+AE54+AE56+AE44+AE58</f>
    </nc>
  </rcc>
  <rcc rId="310" sId="1">
    <oc r="AF39">
      <f>AF47+AF49+AF51+AF54+AF56</f>
    </oc>
    <nc r="AF39">
      <f>AF47+AF49+AF51+AF54+AF56+AF44+AF58</f>
    </nc>
  </rcc>
  <rcc rId="311" sId="1">
    <oc r="AG39">
      <f>AG47+AG49+AG51+AG54+AG56</f>
    </oc>
    <nc r="AG39">
      <f>AG47+AG49+AG51+AG54+AG56+AG44+AG58</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2" sId="1">
    <oc r="E74">
      <f>J74+L74+N74+P74+R74+T74</f>
    </oc>
    <nc r="E74">
      <f>J74+L74+N74+P74+R74+T74+V74+X74+Z74+AB74</f>
    </nc>
  </rcc>
  <rcc rId="313" sId="1">
    <oc r="E75">
      <f>J75+L75+N75+P75+R75+T75</f>
    </oc>
    <nc r="E75">
      <f>J75+L75+N75+P75+R75+T75+V75+X75+Z75+AB75</f>
    </nc>
  </rcc>
  <rcc rId="314" sId="1">
    <oc r="E78">
      <f>J78+L78+N78+P78+R78+T78</f>
    </oc>
    <nc r="E78">
      <f>J78+L78+N78+P78+R78+T78+V78+X78+Z78+AB78</f>
    </nc>
  </rcc>
  <rcc rId="315" sId="1">
    <oc r="E79">
      <f>J79+L79+N79+P79+R79+T79</f>
    </oc>
    <nc r="E79">
      <f>J79+L79+N79+P79+R79+T79+V79+X79+Z79+AB79</f>
    </nc>
  </rcc>
  <rcc rId="316" sId="1">
    <oc r="E80">
      <f>J80+L80+N80+P80+R80+T80</f>
    </oc>
    <nc r="E80">
      <f>J80+L80+N80+P80+R80+T80+V80+X80+Z80+AB80</f>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 sId="1">
    <oc r="E80">
      <f>J80+L80+N80+P80+R80+T80+V80+X80+Z80+AB80</f>
    </oc>
    <nc r="E80">
      <f>J80+L80+N80+P80+R80+T80+V80+X80+Z80+AB80</f>
    </nc>
  </rcc>
  <rcc rId="318" sId="1" numFmtId="4">
    <oc r="W80">
      <v>0</v>
    </oc>
    <nc r="W80">
      <v>653.5</v>
    </nc>
  </rcc>
  <rcc rId="319" sId="1" numFmtId="4">
    <oc r="X80">
      <v>0</v>
    </oc>
    <nc r="X80">
      <v>2000</v>
    </nc>
  </rcc>
  <rcc rId="320" sId="1" numFmtId="4">
    <oc r="Y80">
      <v>0</v>
    </oc>
    <nc r="Y80">
      <v>2000</v>
    </nc>
  </rcc>
  <rcc rId="321" sId="1" numFmtId="4">
    <oc r="Z80">
      <v>0</v>
    </oc>
    <nc r="Z80">
      <v>2159.09</v>
    </nc>
  </rcc>
  <rcc rId="322" sId="1" numFmtId="4">
    <oc r="AA80">
      <v>0</v>
    </oc>
    <nc r="AA80">
      <v>2159.09</v>
    </nc>
  </rcc>
  <rcc rId="323" sId="1">
    <oc r="AF80">
      <f>16585.9-1211.53-9002.92</f>
    </oc>
    <nc r="AF80">
      <f>16585.9-1211.53-9002.92-4159.09</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76:B80">
    <dxf>
      <fill>
        <patternFill patternType="solid">
          <bgColor rgb="FF92D05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4:B11" start="0" length="2147483647">
    <dxf>
      <font>
        <color auto="1"/>
      </font>
    </dxf>
  </rfmt>
  <rfmt sheetId="8" sqref="B18:B20" start="0" length="2147483647">
    <dxf>
      <font>
        <color auto="1"/>
      </font>
    </dxf>
  </rfmt>
  <rfmt sheetId="8" sqref="B49:B50" start="0" length="2147483647">
    <dxf>
      <font>
        <color auto="1"/>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 sId="1">
    <oc r="AF80">
      <f>16585.9-1211.53-9002.92-4159.09</f>
    </oc>
    <nc r="AF80"/>
  </rcc>
  <rcc rId="325" sId="1" numFmtId="4">
    <oc r="Z80">
      <v>2159.09</v>
    </oc>
    <nc r="Z80">
      <f>2159.09-1522.07</f>
    </nc>
  </rcc>
  <rcc rId="326" sId="1">
    <oc r="I80">
      <f>IFERROR(G80/E80*100,0)</f>
    </oc>
    <nc r="I80">
      <f>IFERROR(G80/E80*100,0)</f>
    </nc>
  </rcc>
  <rcc rId="327" sId="1">
    <oc r="H80">
      <f>IFERROR(G80/D80*100,0)</f>
    </oc>
    <nc r="H80">
      <f>IFERROR(G80/D80*100,0)</f>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 sId="1" numFmtId="4">
    <oc r="W78">
      <v>0</v>
    </oc>
    <nc r="W78">
      <v>10144.65</v>
    </nc>
  </rcc>
  <rcc rId="329" sId="1" numFmtId="4">
    <oc r="X78">
      <v>0</v>
    </oc>
    <nc r="X78">
      <v>3000</v>
    </nc>
  </rcc>
  <rcc rId="330" sId="1" numFmtId="4">
    <oc r="Y78">
      <v>0</v>
    </oc>
    <nc r="Y78">
      <v>3000</v>
    </nc>
  </rcc>
  <rcc rId="331" sId="1" numFmtId="4">
    <oc r="Z78">
      <v>0</v>
    </oc>
    <nc r="Z78">
      <v>3000</v>
    </nc>
  </rcc>
  <rcc rId="332" sId="1" numFmtId="4">
    <oc r="AA78">
      <v>0</v>
    </oc>
    <nc r="AA78">
      <v>3000</v>
    </nc>
  </rcc>
  <rcc rId="333" sId="1" numFmtId="4">
    <oc r="AC78">
      <v>0</v>
    </oc>
    <nc r="AC78">
      <v>832.64</v>
    </nc>
  </rcc>
  <rcc rId="334" sId="1" numFmtId="4">
    <oc r="R78">
      <f>9685.806-4872.22</f>
    </oc>
    <nc r="R78">
      <v>805.14</v>
    </nc>
  </rcc>
  <rcc rId="335" sId="1" numFmtId="4">
    <oc r="T78">
      <f>10161.6-235.59</f>
    </oc>
    <nc r="T78">
      <v>28.79</v>
    </nc>
  </rcc>
  <rcc rId="336" sId="1" numFmtId="4">
    <oc r="AB78">
      <v>0</v>
    </oc>
    <nc r="AB78">
      <f>1636.46+832.64</f>
    </nc>
  </rcc>
  <rcc rId="337" sId="1" numFmtId="4">
    <oc r="AD78">
      <v>0</v>
    </oc>
    <nc r="AD78">
      <v>418.29</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76:B80">
    <dxf>
      <fill>
        <patternFill patternType="none">
          <bgColor auto="1"/>
        </patternFill>
      </fill>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8" sId="1">
    <oc r="E82">
      <f>J82+L82+N82+P82+R82+T82</f>
    </oc>
    <nc r="E82">
      <f>J82+L82+N82+P82+R82+T82+V82+X82+Z82+AB82</f>
    </nc>
  </rcc>
  <rcc rId="339" sId="1">
    <oc r="E84">
      <f>J84+L84+N84+P84+R84+T84+V84</f>
    </oc>
    <nc r="E84">
      <f>J84+L84+N84+P84+R84+T84+V84+X84+Z84+AB84</f>
    </nc>
  </rcc>
  <rcc rId="340" sId="1">
    <oc r="E85">
      <f>J85+L85+N85+P85+R85+T85</f>
    </oc>
    <nc r="E85">
      <f>J85+L85+N85+P85+R85+T85+V85+X85+Z85+AB85</f>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1" sId="1">
    <oc r="E87">
      <f>J87+L87+N87</f>
    </oc>
    <nc r="E87">
      <f>J87+L87+N87+P87+R87+T87+V87+X87+Z87+AB87</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2" sId="1" numFmtId="4">
    <oc r="AA85">
      <v>0</v>
    </oc>
    <nc r="AA85">
      <v>1055.98</v>
    </nc>
  </rcc>
  <rcc rId="343" sId="1">
    <oc r="T85">
      <f>145-102.58</f>
    </oc>
    <nc r="T85">
      <f>145-102.58+478.88</f>
    </nc>
  </rcc>
  <rcc rId="344" sId="1">
    <oc r="AF85">
      <f>1753.2+731+2380.4-3894.72</f>
    </oc>
    <nc r="AF85">
      <f>1753.2+731+2380.4-3894.72-478.88</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 sId="12" numFmtId="19">
    <oc r="E6">
      <v>45931</v>
    </oc>
    <nc r="E6">
      <v>45962</v>
    </nc>
  </rcc>
  <rcc rId="346" sId="12" numFmtId="19">
    <oc r="G6">
      <v>45931</v>
    </oc>
    <nc r="G6">
      <v>45962</v>
    </nc>
  </rcc>
  <rcc rId="347" sId="12" numFmtId="4">
    <oc r="L13">
      <v>12.73</v>
    </oc>
    <nc r="L13">
      <v>12.72</v>
    </nc>
  </rcc>
  <rcc rId="348" sId="12">
    <oc r="R9">
      <f>R13</f>
    </oc>
    <nc r="R9">
      <f>R13</f>
    </nc>
  </rcc>
  <rcc rId="349" sId="12">
    <oc r="J9">
      <f>J13</f>
    </oc>
    <nc r="J9">
      <f>J13</f>
    </nc>
  </rcc>
  <rcc rId="350" sId="12">
    <oc r="K9">
      <f>K13</f>
    </oc>
    <nc r="K9">
      <f>K13</f>
    </nc>
  </rcc>
  <rcc rId="351" sId="12">
    <oc r="L10">
      <f>L15</f>
    </oc>
    <nc r="L10">
      <f>L15</f>
    </nc>
  </rcc>
  <rcc rId="352" sId="12">
    <oc r="K10">
      <f>K15</f>
    </oc>
    <nc r="K10">
      <f>K15</f>
    </nc>
  </rcc>
  <rcc rId="353" sId="12">
    <oc r="M10">
      <f>M13+M15</f>
    </oc>
    <nc r="M10">
      <f>M15</f>
    </nc>
  </rcc>
  <rcc rId="354" sId="12">
    <oc r="N10">
      <f>N13+N15</f>
    </oc>
    <nc r="N10">
      <f>N15</f>
    </nc>
  </rcc>
  <rcc rId="355" sId="12">
    <oc r="O10">
      <f>O13+O15</f>
    </oc>
    <nc r="O10">
      <f>O15</f>
    </nc>
  </rcc>
  <rcc rId="356" sId="12">
    <oc r="P10">
      <f>P13+P15</f>
    </oc>
    <nc r="P10">
      <f>P15</f>
    </nc>
  </rcc>
  <rcc rId="357" sId="12">
    <oc r="Q10">
      <f>Q13+Q15</f>
    </oc>
    <nc r="Q10">
      <f>Q15</f>
    </nc>
  </rcc>
  <rcc rId="358" sId="12">
    <oc r="R10">
      <f>R13+R15</f>
    </oc>
    <nc r="R10">
      <f>R15</f>
    </nc>
  </rcc>
  <rcc rId="359" sId="12">
    <oc r="S10">
      <f>S13+S15</f>
    </oc>
    <nc r="S10">
      <f>S15</f>
    </nc>
  </rcc>
  <rcc rId="360" sId="12">
    <oc r="T10">
      <f>T13+T15</f>
    </oc>
    <nc r="T10">
      <f>T15</f>
    </nc>
  </rcc>
  <rcc rId="361" sId="12">
    <oc r="U10">
      <f>U13+U15</f>
    </oc>
    <nc r="U10">
      <f>U15</f>
    </nc>
  </rcc>
  <rcc rId="362" sId="12">
    <oc r="V10">
      <f>V13+V15</f>
    </oc>
    <nc r="V10">
      <f>V15</f>
    </nc>
  </rcc>
  <rcc rId="363" sId="12">
    <oc r="W10">
      <f>W13+W15</f>
    </oc>
    <nc r="W10">
      <f>W15</f>
    </nc>
  </rcc>
  <rcc rId="364" sId="12">
    <oc r="X10">
      <f>X13+X15</f>
    </oc>
    <nc r="X10">
      <f>X15</f>
    </nc>
  </rcc>
  <rcc rId="365" sId="12">
    <oc r="Y10">
      <f>Y13+Y15</f>
    </oc>
    <nc r="Y10">
      <f>Y15</f>
    </nc>
  </rcc>
  <rcc rId="366" sId="12">
    <oc r="Z10">
      <f>Z13+Z15</f>
    </oc>
    <nc r="Z10">
      <f>Z15</f>
    </nc>
  </rcc>
  <rcc rId="367" sId="12">
    <oc r="AA10">
      <f>AA13+AA15</f>
    </oc>
    <nc r="AA10">
      <f>AA15</f>
    </nc>
  </rcc>
  <rcc rId="368" sId="12">
    <oc r="AB10">
      <f>AB13+AB15</f>
    </oc>
    <nc r="AB10">
      <f>AB15</f>
    </nc>
  </rcc>
  <rcc rId="369" sId="12">
    <oc r="AC10">
      <f>AC13+AC15</f>
    </oc>
    <nc r="AC10">
      <f>AC15</f>
    </nc>
  </rcc>
  <rcc rId="370" sId="12">
    <oc r="AD10">
      <f>AD13+AD15</f>
    </oc>
    <nc r="AD10">
      <f>AD15</f>
    </nc>
  </rcc>
  <rcc rId="371" sId="12">
    <oc r="AE10">
      <f>AE13+AE15</f>
    </oc>
    <nc r="AE10">
      <f>AE15</f>
    </nc>
  </rcc>
  <rcc rId="372" sId="12">
    <oc r="AF10">
      <f>AF13+AF15</f>
    </oc>
    <nc r="AF10">
      <f>AF15</f>
    </nc>
  </rcc>
  <rcc rId="373" sId="12">
    <oc r="AG10">
      <f>AG13+AG15</f>
    </oc>
    <nc r="AG10">
      <f>AG15</f>
    </nc>
  </rcc>
  <rcc rId="374" sId="12">
    <oc r="E13">
      <f>J13+L13+N13+P13+R13+T13+V13+X13+Z13</f>
    </oc>
    <nc r="E13">
      <f>J13+L13+N13+P13+R13+T13+V13+X13+Z13+AB13</f>
    </nc>
  </rcc>
  <rcc rId="375" sId="12">
    <oc r="E15">
      <f>J15+L15+N15+P15+R15+T15+V15+X15+Z15</f>
    </oc>
    <nc r="E15">
      <f>J15+L15+N15+P15+R15+T15+V15+X15+Z15+AB15</f>
    </nc>
  </rcc>
  <rcv guid="{F528EF6A-C113-49B5-B25F-D660F898CBFB}" action="delete"/>
  <rdn rId="0" localSheetId="1" customView="1" name="Z_F528EF6A_C113_49B5_B25F_D660F898CBFB_.wvu.Rows" hidden="1" oldHidden="1">
    <formula>'1. РО'!$28:$28,'1. РО'!$32:$32,'1. РО'!$52:$52,'1. РО'!$61:$61,'1. РО'!$73:$73,'1. РО'!$77:$77</formula>
    <oldFormula>'1. РО'!$28:$28,'1. РО'!$32:$32,'1. РО'!$52:$52,'1. РО'!$61:$61,'1. РО'!$73:$73,'1. РО'!$77:$77</oldFormula>
  </rdn>
  <rdn rId="0" localSheetId="4" customView="1" name="Z_F528EF6A_C113_49B5_B25F_D660F898CBFB_.wvu.Rows" hidden="1" oldHidden="1">
    <formula>'4. КП'!$23:$23,'4. КП'!$27:$27,'4. КП'!$68:$68,'4. КП'!$75:$75,'4. КП'!$83:$83,'4. КП'!$87:$88,'4. КП'!$91:$91,'4. КП'!$93:$93</formula>
    <oldFormula>'4. КП'!$23:$23,'4. КП'!$27:$27,'4. КП'!$68:$68,'4. КП'!$75:$75,'4. КП'!$83:$83,'4. КП'!$87:$88,'4. КП'!$91:$91,'4. КП'!$93:$93</oldFormula>
  </rdn>
  <rdn rId="0" localSheetId="5" customView="1" name="Z_F528EF6A_C113_49B5_B25F_D660F898CBF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F528EF6A_C113_49B5_B25F_D660F898CBF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F528EF6A_C113_49B5_B25F_D660F898CBFB_.wvu.Rows" hidden="1" oldHidden="1">
    <formula>'9. РЖКК'!$14:$14,'9. РЖКК'!$28:$28</formula>
    <oldFormula>'9. РЖКК'!$14:$14,'9. РЖКК'!$28:$28</oldFormula>
  </rdn>
  <rdn rId="0" localSheetId="14" customView="1" name="Z_F528EF6A_C113_49B5_B25F_D660F898CBFB_.wvu.Rows" hidden="1" oldHidden="1">
    <formula>'14. РТС'!$14:$15,'14. РТС'!$19:$19,'14. РТС'!$30:$30,'14. РТС'!$33:$33,'14. РТС'!$36:$36,'14. РТС'!$43:$43</formula>
    <oldFormula>'14. РТС'!$14:$15,'14. РТС'!$19:$19,'14. РТС'!$30:$30,'14. РТС'!$33:$33,'14. РТС'!$36:$36,'14. РТС'!$43:$43</oldFormula>
  </rdn>
  <rdn rId="0" localSheetId="17" customView="1" name="Z_F528EF6A_C113_49B5_B25F_D660F898CBFB_.wvu.PrintTitles" hidden="1" oldHidden="1">
    <formula>'17. УМИ'!$4:$7</formula>
  </rdn>
  <rdn rId="0" localSheetId="20" customView="1" name="Z_F528EF6A_C113_49B5_B25F_D660F898CBFB_.wvu.Rows" hidden="1" oldHidden="1">
    <formula>'20. МСП'!$19:$19</formula>
    <oldFormula>'20. МСП'!$19:$19</oldFormula>
  </rdn>
  <rcv guid="{F528EF6A-C113-49B5-B25F-D660F898CBFB}"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4" sId="1" numFmtId="4">
    <oc r="AC87">
      <v>0</v>
    </oc>
    <nc r="AC87">
      <v>626.29</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 sId="9" numFmtId="19">
    <oc r="E6">
      <v>45931</v>
    </oc>
    <nc r="E6">
      <v>45962</v>
    </nc>
  </rcc>
  <rcc rId="386" sId="9" numFmtId="19">
    <oc r="F6">
      <v>45931</v>
    </oc>
    <nc r="F6">
      <v>45962</v>
    </nc>
  </rcc>
  <rcc rId="387" sId="9" numFmtId="4">
    <oc r="D22">
      <v>233386.74</v>
    </oc>
    <nc r="D22">
      <v>233475.34</v>
    </nc>
  </rcc>
  <rcc rId="388" sId="9" numFmtId="4">
    <oc r="D21">
      <v>233386.74</v>
    </oc>
    <nc r="D21">
      <v>233475.34</v>
    </nc>
  </rcc>
  <rcc rId="389" sId="9" numFmtId="4">
    <oc r="E22">
      <v>109646.03</v>
    </oc>
    <nc r="E22">
      <v>138799.85</v>
    </nc>
  </rcc>
  <rcc rId="390" sId="9" numFmtId="4">
    <oc r="F22">
      <v>109646.03</v>
    </oc>
    <nc r="F22">
      <v>110918.92</v>
    </nc>
  </rcc>
  <rcc rId="391" sId="9" numFmtId="19">
    <oc r="G6">
      <v>45931</v>
    </oc>
    <nc r="G6">
      <v>45962</v>
    </nc>
  </rcc>
  <rcc rId="392" sId="9" numFmtId="4">
    <oc r="G22">
      <v>109646.03</v>
    </oc>
    <nc r="G22">
      <v>110918.92</v>
    </nc>
  </rcc>
  <rcc rId="393" sId="9" numFmtId="4">
    <oc r="AB22">
      <v>29121.47</v>
    </oc>
    <nc r="AB22">
      <v>29153.82</v>
    </nc>
  </rcc>
  <rcc rId="394" sId="9" numFmtId="4">
    <oc r="AC22">
      <v>0</v>
    </oc>
    <nc r="AC22">
      <v>1272.8900000000001</v>
    </nc>
  </rcc>
  <rcc rId="395" sId="9" numFmtId="4">
    <oc r="AD22">
      <v>0</v>
    </oc>
    <nc r="AD22">
      <v>88.6</v>
    </nc>
  </rcc>
  <rcc rId="396" sId="9" numFmtId="4">
    <oc r="AF22">
      <v>94619.24</v>
    </oc>
    <nc r="AF22">
      <v>94586.89</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97" sId="12" numFmtId="4">
    <oc r="V13">
      <v>12.73</v>
    </oc>
    <nc r="V13">
      <v>12.72</v>
    </nc>
  </rcc>
  <rcc rId="398" sId="12" numFmtId="4">
    <oc r="AC13">
      <v>0</v>
    </oc>
    <nc r="AC13">
      <v>12.73</v>
    </nc>
  </rcc>
  <rcc rId="399" sId="12" numFmtId="4">
    <oc r="AC15">
      <v>0</v>
    </oc>
    <nc r="AC15">
      <v>1199</v>
    </nc>
  </rcc>
  <rcc rId="400" sId="12" numFmtId="4">
    <oc r="AF13">
      <v>34.429000000000002</v>
    </oc>
    <nc r="AF13">
      <v>35.729999999999997</v>
    </nc>
  </rcc>
  <rcc rId="401" sId="12">
    <oc r="AH14" t="inlineStr">
      <is>
        <t xml:space="preserve"> 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
21.04.2025 размещен электронный аукцион на оказание услуг по ликвидации несанкционированного места размещения отходов (несанкционированной свалки) на сумму 4 707,00 тыс.руб.
-торги 30.04.2025
-аукцион не состоялся, по причине отклонения всех участников закупки, протокол 06.05.2025
22.05.2025 повторно размещен электронный аукцион на оказание услуг по ликвидации несанкционированного места размещения отходов (несанкционированной свалки) на сумму 4 707,00 тыс.руб.
- торги 30.05.2025
- идет процедура заключения контракта </t>
      </is>
    </oc>
    <nc r="AH14" t="inlineStr">
      <is>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
1. Муниципальный контракт №0187300013725000109 от 16.06.2025 на оказание услуг по ликвидации несанкционированного места размещения отходов (несанкционированной свалки):
- цена контракта - 2 824,20020 тыс. руб.;
- сроки выполнения работ - 09.09.2025
- подрядчик - Акционерное общество «ПолигонЛТД»</t>
      </is>
    </nc>
  </rcc>
  <rcc rId="402" sId="12" odxf="1" dxf="1">
    <nc r="AH13" t="inlineStr">
      <is>
        <t>Неосвоение средств образвалось в связи с наличием больничного листа у сотрудника в обязанности которого входит исполнение данного мероприятия</t>
      </is>
    </nc>
    <ndxf>
      <font>
        <b val="0"/>
        <sz val="10"/>
        <color auto="1"/>
        <name val="Times New Roman"/>
        <scheme val="none"/>
      </font>
    </ndxf>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8" numFmtId="4">
    <oc r="W52">
      <v>0</v>
    </oc>
    <nc r="W52">
      <v>1040.23</v>
    </nc>
  </rcc>
  <rfmt sheetId="8" sqref="B51:B52" start="0" length="2147483647">
    <dxf>
      <font>
        <color auto="1"/>
      </font>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3" sId="9" numFmtId="4">
    <oc r="D10">
      <v>520764.9</v>
    </oc>
    <nc r="D10">
      <v>445732.8</v>
    </nc>
  </rcc>
  <rcc rId="404" sId="9" numFmtId="4">
    <oc r="D11">
      <v>278304.74</v>
    </oc>
    <nc r="D11">
      <v>259635.24</v>
    </nc>
  </rcc>
  <rcc rId="405" sId="9" numFmtId="4">
    <oc r="E10">
      <v>305940.14</v>
    </oc>
    <nc r="E10">
      <v>445671.93</v>
    </nc>
  </rcc>
  <rcc rId="406" sId="9" numFmtId="4">
    <oc r="E11">
      <v>127984.02</v>
    </oc>
    <nc r="E11">
      <v>164492.15</v>
    </nc>
  </rcc>
  <rcc rId="407" sId="9" numFmtId="4">
    <oc r="F10">
      <v>305940.14</v>
    </oc>
    <nc r="F10">
      <v>445671.92</v>
    </nc>
  </rcc>
  <rcc rId="408" sId="9" numFmtId="4">
    <oc r="F11">
      <v>127984.02</v>
    </oc>
    <nc r="F11">
      <v>136611.22</v>
    </nc>
  </rcc>
  <rcc rId="409" sId="9" numFmtId="4">
    <oc r="G10">
      <v>305940.14</v>
    </oc>
    <nc r="G10">
      <v>445671.92</v>
    </nc>
  </rcc>
  <rcc rId="410" sId="9" numFmtId="4">
    <oc r="G11">
      <v>127984.02</v>
    </oc>
    <nc r="G11">
      <v>136611.22</v>
    </nc>
  </rcc>
  <rcc rId="411" sId="9" numFmtId="4">
    <oc r="E16">
      <v>18337.990000000002</v>
    </oc>
    <nc r="E16">
      <v>25692.3</v>
    </nc>
  </rcc>
  <rcc rId="412" sId="9" numFmtId="4">
    <oc r="E15">
      <v>305940.14</v>
    </oc>
    <nc r="E15">
      <v>445671.93</v>
    </nc>
  </rcc>
  <rcc rId="413" sId="9" numFmtId="4">
    <oc r="F16">
      <v>18337.990000000002</v>
    </oc>
    <nc r="F16">
      <v>25692.3</v>
    </nc>
  </rcc>
  <rcc rId="414" sId="9" numFmtId="4">
    <oc r="F15">
      <v>305940.14</v>
    </oc>
    <nc r="F15">
      <v>445671.92</v>
    </nc>
  </rcc>
  <rcc rId="415" sId="9" numFmtId="4">
    <oc r="F13">
      <v>324278.13</v>
    </oc>
    <nc r="F13">
      <v>471364.22</v>
    </nc>
  </rcc>
  <rcc rId="416" sId="9" numFmtId="4">
    <oc r="G16">
      <v>18337.900000000001</v>
    </oc>
    <nc r="G16">
      <v>25692.3</v>
    </nc>
  </rcc>
  <rcc rId="417" sId="9" numFmtId="4">
    <oc r="G15">
      <v>305940.14</v>
    </oc>
    <nc r="G15">
      <v>445671.92</v>
    </nc>
  </rcc>
  <rcc rId="418" sId="9" numFmtId="4">
    <oc r="G13">
      <v>324278.13</v>
    </oc>
    <nc r="G13">
      <v>471364.22</v>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 sId="9" numFmtId="4">
    <oc r="AB10">
      <v>0</v>
    </oc>
    <nc r="AB10">
      <v>139731.79</v>
    </nc>
  </rcc>
  <rcc rId="420" sId="9" numFmtId="4">
    <oc r="AB11">
      <v>29121.47</v>
    </oc>
    <nc r="AB11">
      <v>36508.129999999997</v>
    </nc>
  </rcc>
  <rcc rId="421" sId="9" numFmtId="4">
    <oc r="AD11">
      <v>5203.8</v>
    </oc>
    <nc r="AD11">
      <v>91.8</v>
    </nc>
  </rcc>
  <rcc rId="422" sId="9" numFmtId="4">
    <oc r="AD10">
      <v>98872.52</v>
    </oc>
    <nc r="AD10">
      <v>60.87</v>
    </nc>
  </rcc>
  <rcc rId="423" sId="9" numFmtId="4">
    <oc r="AB15">
      <v>0</v>
    </oc>
    <nc r="AB15">
      <v>139731.79</v>
    </nc>
  </rcc>
  <rcc rId="424" sId="9" numFmtId="4">
    <oc r="AB16">
      <v>0</v>
    </oc>
    <nc r="AB16">
      <v>7354.31</v>
    </nc>
  </rcc>
  <rcc rId="425" sId="9" numFmtId="4">
    <oc r="AD15">
      <v>98872.52</v>
    </oc>
    <nc r="AD15">
      <v>60.87</v>
    </nc>
  </rcc>
  <rcc rId="426" sId="9" numFmtId="4">
    <oc r="AD16">
      <v>5203.8</v>
    </oc>
    <nc r="AD16">
      <v>3.2</v>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7" sId="9" numFmtId="4">
    <oc r="AF16">
      <v>2157.21</v>
    </oc>
    <nc r="AF16">
      <v>3.5</v>
    </nc>
  </rcc>
  <rcc rId="428" sId="9" numFmtId="4">
    <oc r="AF15">
      <v>40920.14</v>
    </oc>
    <nc r="AF15">
      <v>0</v>
    </nc>
  </rcc>
  <rcc rId="429" sId="9" numFmtId="4">
    <oc r="AF11">
      <v>115995.45</v>
    </oc>
    <nc r="AF11">
      <v>113809.39</v>
    </nc>
  </rcc>
  <rcc rId="430" sId="9" numFmtId="4">
    <oc r="AF10">
      <v>115952.24</v>
    </oc>
    <nc r="AF10">
      <v>75032.100000000006</v>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1" sId="9" numFmtId="4">
    <oc r="D11">
      <v>259635.24</v>
    </oc>
    <nc r="D11">
      <v>278393.34000000003</v>
    </nc>
  </rcc>
  <rcc rId="432" sId="9" numFmtId="4">
    <oc r="D10">
      <v>445732.8</v>
    </oc>
    <nc r="D10">
      <v>520764.9</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3" sId="2" numFmtId="4">
    <oc r="AC15">
      <v>0</v>
    </oc>
    <nc r="AC15">
      <v>280.64</v>
    </nc>
  </rcc>
  <rcc rId="434" sId="2">
    <oc r="AC11">
      <f>AC15</f>
    </oc>
    <nc r="AC11">
      <f>AC15</f>
    </nc>
  </rcc>
  <rcc rId="435" sId="2" numFmtId="4">
    <nc r="AC18">
      <v>0.26</v>
    </nc>
  </rcc>
  <rcc rId="436" sId="2" numFmtId="4">
    <nc r="AC19">
      <v>1035.1600000000001</v>
    </nc>
  </rcc>
  <rcc rId="437" sId="2" numFmtId="4">
    <oc r="AB14">
      <v>50410.92</v>
    </oc>
    <nc r="AB14">
      <v>47314.54</v>
    </nc>
  </rcc>
  <rcc rId="438" sId="2" numFmtId="4">
    <oc r="AC14">
      <v>0</v>
    </oc>
    <nc r="AC14">
      <v>36304.97</v>
    </nc>
  </rcc>
  <rcc rId="439" sId="2">
    <oc r="S9">
      <f>S18</f>
    </oc>
    <nc r="S9">
      <f>S18</f>
    </nc>
  </rcc>
  <rcc rId="440" sId="2" numFmtId="4">
    <oc r="S18">
      <v>1331.92</v>
    </oc>
    <nc r="S18">
      <v>1331.51</v>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1" sId="3" numFmtId="19">
    <oc r="E6">
      <v>45931</v>
    </oc>
    <nc r="E6">
      <v>45962</v>
    </nc>
  </rcc>
  <rcc rId="442" sId="3" numFmtId="19">
    <oc r="F6">
      <v>45931</v>
    </oc>
    <nc r="F6">
      <v>45962</v>
    </nc>
  </rcc>
  <rcc rId="443" sId="3" numFmtId="19">
    <oc r="G6">
      <v>45931</v>
    </oc>
    <nc r="G6">
      <v>45962</v>
    </nc>
  </rcc>
  <rcc rId="444" sId="3">
    <oc r="F9">
      <f>F14</f>
    </oc>
    <nc r="F9">
      <f>F14</f>
    </nc>
  </rcc>
  <rcc rId="445" sId="3">
    <oc r="F10">
      <f>F15+F26+F18</f>
    </oc>
    <nc r="F10">
      <f>F15+F26+F18</f>
    </nc>
  </rcc>
  <rcc rId="446" sId="3">
    <oc r="E14">
      <f>J14+L14+N14+P14+R14+T14+V14+X14+Z14</f>
    </oc>
    <nc r="E14">
      <f>J14+L14+N14+P14+R14+T14+V14+X14+Z14+AB14</f>
    </nc>
  </rcc>
  <rcc rId="447" sId="3">
    <oc r="E15">
      <f>J15+L15+N15+P15+R15+T15+V15+X15+Z15</f>
    </oc>
    <nc r="E15">
      <f>J15+L15+N15+P15+R15+T15+V15+X15+Z15+AB15</f>
    </nc>
  </rcc>
  <rcc rId="448" sId="3">
    <oc r="E16">
      <f>J16+L16+N16+P16+R16+T16+V16+X16+Z16</f>
    </oc>
    <nc r="E16">
      <f>J16+L16+N16+P16+R16+T16+V16+X16+Z16+AB16</f>
    </nc>
  </rcc>
  <rcc rId="449" sId="3">
    <oc r="E18">
      <f>J18+L18+N18+P18+R18+T18+V18+X18+Z18</f>
    </oc>
    <nc r="E18">
      <f>J18+L18+N18+P18+R18+T18+V18+X18+Z18+AB18</f>
    </nc>
  </rcc>
  <rcc rId="450" sId="3">
    <oc r="E19">
      <f>J19+L19+N19+P19+R19+T19+V19+X19+Z19</f>
    </oc>
    <nc r="E19">
      <f>J19+L19+N19+P19+R19+T19+V19+X19+Z19+AB19</f>
    </nc>
  </rcc>
  <rcc rId="451" sId="3">
    <oc r="E21">
      <f>J21+L21+N21+P21+R21+T21+V21+X21+Z21</f>
    </oc>
    <nc r="E21">
      <f>J21+L21+N21+P21+R21+T21+V21+X21+Z21+AB21</f>
    </nc>
  </rcc>
  <rcc rId="452" sId="3">
    <oc r="E23">
      <f>J23+L23+N23+P23+R23+T23+V23+X23+Z23</f>
    </oc>
    <nc r="E23">
      <f>J23+L23+N23+P23+R23+T23+V23+X23+Z23+AB23</f>
    </nc>
  </rcc>
  <rcc rId="453" sId="3" numFmtId="4">
    <oc r="AC16">
      <v>0</v>
    </oc>
    <nc r="AC16">
      <v>986.4</v>
    </nc>
  </rcc>
  <rcc rId="454" sId="3" numFmtId="4">
    <oc r="AC18">
      <v>0</v>
    </oc>
    <nc r="AC18">
      <v>6107.8</v>
    </nc>
  </rcc>
  <rcc rId="455" sId="3" numFmtId="4">
    <oc r="AC19">
      <v>0</v>
    </oc>
    <nc r="AC19">
      <v>5641.27</v>
    </nc>
  </rcc>
  <rcv guid="{B6B60ED6-A6CC-4DA7-A8CA-5E6DB52D5A87}" action="delete"/>
  <rdn rId="0" localSheetId="1" customView="1" name="Z_B6B60ED6_A6CC_4DA7_A8CA_5E6DB52D5A87_.wvu.Rows" hidden="1" oldHidden="1">
    <formula>'1. РО'!$28:$28,'1. РО'!$32:$32,'1. РО'!$52:$52,'1. РО'!$61:$61,'1. РО'!$73:$73,'1. РО'!$77:$77</formula>
    <oldFormula>'1. РО'!$28:$28,'1. РО'!$32:$32,'1. РО'!$52:$52,'1. РО'!$61:$61,'1. РО'!$73:$73,'1. РО'!$77:$77</oldFormula>
  </rdn>
  <rdn rId="0" localSheetId="4" customView="1" name="Z_B6B60ED6_A6CC_4DA7_A8CA_5E6DB52D5A87_.wvu.Rows" hidden="1" oldHidden="1">
    <formula>'4. КП'!$23:$23,'4. КП'!$27:$27,'4. КП'!$68:$68,'4. КП'!$75:$75,'4. КП'!$83:$83,'4. КП'!$87:$88,'4. КП'!$91:$91,'4. КП'!$93:$93</formula>
    <oldFormula>'4. КП'!$23:$23,'4. КП'!$27:$27,'4. КП'!$68:$68,'4. КП'!$75:$75,'4. КП'!$83:$83,'4. КП'!$87:$88,'4. КП'!$91:$91,'4. КП'!$93:$93</oldFormula>
  </rdn>
  <rdn rId="0" localSheetId="5" customView="1" name="Z_B6B60ED6_A6CC_4DA7_A8CA_5E6DB52D5A87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B60ED6_A6CC_4DA7_A8CA_5E6DB52D5A87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B60ED6_A6CC_4DA7_A8CA_5E6DB52D5A87_.wvu.Rows" hidden="1" oldHidden="1">
    <formula>'9. РЖКК'!$14:$14,'9. РЖКК'!$28:$28</formula>
    <oldFormula>'9. РЖКК'!$14:$14,'9. РЖКК'!$28:$28</oldFormula>
  </rdn>
  <rdn rId="0" localSheetId="14" customView="1" name="Z_B6B60ED6_A6CC_4DA7_A8CA_5E6DB52D5A87_.wvu.Rows" hidden="1" oldHidden="1">
    <formula>'14. РТС'!$14:$15,'14. РТС'!$19:$19,'14. РТС'!$30:$30,'14. РТС'!$33:$33,'14. РТС'!$36:$36,'14. РТС'!$43:$43</formula>
    <oldFormula>'14. РТС'!$14:$15,'14. РТС'!$19:$19,'14. РТС'!$30:$30,'14. РТС'!$33:$33,'14. РТС'!$36:$36,'14. РТС'!$43:$43</oldFormula>
  </rdn>
  <rdn rId="0" localSheetId="17" customView="1" name="Z_B6B60ED6_A6CC_4DA7_A8CA_5E6DB52D5A87_.wvu.PrintTitles" hidden="1" oldHidden="1">
    <formula>'17. УМИ'!$4:$7</formula>
    <oldFormula>'17. УМИ'!$4:$7</oldFormula>
  </rdn>
  <rdn rId="0" localSheetId="20" customView="1" name="Z_B6B60ED6_A6CC_4DA7_A8CA_5E6DB52D5A87_.wvu.Rows" hidden="1" oldHidden="1">
    <formula>'20. МСП'!$19:$19</formula>
    <oldFormula>'20. МСП'!$19:$19</oldFormula>
  </rdn>
  <rcv guid="{B6B60ED6-A6CC-4DA7-A8CA-5E6DB52D5A87}"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64" sId="3" numFmtId="4">
    <oc r="AB21">
      <v>14644.39</v>
    </oc>
    <nc r="AB21">
      <v>14134.59</v>
    </nc>
  </rcc>
  <rcc rId="465" sId="3" numFmtId="4">
    <oc r="AC21">
      <v>0</v>
    </oc>
    <nc r="AC21">
      <v>10406.99</v>
    </nc>
  </rcc>
  <rfmt sheetId="3" sqref="AH17" start="0" length="0">
    <dxf>
      <font>
        <sz val="9"/>
        <color auto="1"/>
        <name val="Times New Roman"/>
        <scheme val="none"/>
      </font>
      <alignment horizontal="left" readingOrder="0"/>
      <border outline="0">
        <bottom/>
      </border>
    </dxf>
  </rfmt>
  <rfmt sheetId="3" sqref="AH18" start="0" length="0">
    <dxf>
      <font>
        <sz val="9"/>
        <color auto="1"/>
        <name val="Times New Roman"/>
        <scheme val="none"/>
      </font>
      <alignment horizontal="left" readingOrder="0"/>
      <border outline="0">
        <top/>
        <bottom/>
      </border>
    </dxf>
  </rfmt>
  <rfmt sheetId="3" sqref="AH19" start="0" length="0">
    <dxf>
      <font>
        <sz val="9"/>
        <color auto="1"/>
        <name val="Times New Roman"/>
        <scheme val="none"/>
      </font>
      <alignment horizontal="left" readingOrder="0"/>
      <border outline="0">
        <top/>
      </border>
    </dxf>
  </rfmt>
  <rfmt sheetId="3" sqref="AH17" start="0" length="0">
    <dxf>
      <font>
        <sz val="10"/>
        <color auto="1"/>
        <name val="Times New Roman"/>
        <scheme val="none"/>
      </font>
      <alignment horizontal="general" readingOrder="0"/>
      <border outline="0">
        <bottom style="thin">
          <color indexed="64"/>
        </bottom>
      </border>
    </dxf>
  </rfmt>
  <rcc rId="466" sId="3" odxf="1" dxf="1">
    <oc r="AH17" t="inlineStr">
      <is>
        <t>1. Муниципральный контракт 0187300013725000118 от 02.07.2025 на выполнение работ по благоустройству объекта: "Сквер вблизи СК "Олимп", расположенного по адресу: ХМАО-Югра, г. Когалым, ул. Нефтяников"
- цена контракта -  49 990,00 тыс. руб.
- сроки выполнения работ по 29.08.2025 (ведется работа по продлению сроков до 31.10.2025)
- перечислен аванс в сумме 14 997,00 тыс.руб (30% от цены контракта)
- работы выполнены                                    - ведется приемка работ.</t>
      </is>
    </oc>
    <nc r="AH17" t="inlineStr">
      <is>
        <t>1. Муниципральный контракт 0187300013725000118 от 02.07.2025 на выполнение работ по благоустройству объекта: "Сквер вблизи СК "Олимп", расположенного по адресу: ХМАО-Югра, г. Когалым, ул. Нефтяников"
- цена контракта -  49 990,00 тыс. руб.
- сроки выполнения работ по 29.08.2025 (ведется работа по продлению сроков до 31.10.2025)
- перечислен аванс в сумме 14 997,00 тыс.руб (30% от цены контракта)
- работы выполнены                                  - 31.10.2025 состоялсь общественная приемка объекта.</t>
      </is>
    </nc>
    <ndxf>
      <font>
        <sz val="10"/>
        <color auto="1"/>
        <name val="Times New Roman"/>
        <scheme val="none"/>
      </font>
      <alignment horizontal="left" readingOrder="0"/>
      <border outline="0">
        <bottom/>
      </border>
    </ndxf>
  </rcc>
  <rfmt sheetId="3" sqref="AH18" start="0" length="0">
    <dxf>
      <font>
        <sz val="9"/>
        <color auto="1"/>
        <name val="Times New Roman"/>
        <scheme val="none"/>
      </font>
    </dxf>
  </rfmt>
  <rfmt sheetId="3" sqref="AH19" start="0" length="0">
    <dxf>
      <font>
        <sz val="9"/>
        <color auto="1"/>
        <name val="Times New Roman"/>
        <scheme val="none"/>
      </font>
    </dxf>
  </rfmt>
  <rfmt sheetId="3" sqref="AH17" start="0" length="2147483647">
    <dxf>
      <font>
        <sz val="10"/>
      </font>
    </dxf>
  </rfmt>
  <rcc rId="467" sId="3" odxf="1" dxf="1">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30.09.2024-01.08.2025; II - этап 15.05.2025-25.08.2025 (планируется продление сроков по 31.10.2025)
- ведется выполнение работ.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перечислен аванс 30% от цены контракта, что составило 89 400,00 тыс. руб.
- сроки выполнения работ: 25.08.2025 года  (планируется продление сроков по 31.10.2025)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 ведется расторжение контракта.                                       4.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 ведется расторжение контракта.
5.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99 000,00 тыс.руб., перечислен аванс 70% от цены контракта, что составило 69 300,00 тыс.руб.
- сроки выполнения работ: 25.08.2025
На отчетную дату готовность объекта 100 %.       6. Муниципальный контракт № 0187300013725000024 от 26.03.2025 на выполнение работ по благоустройству объекта "Экотропа в городе Когалыме"
- цена контракта: 89 000,00 тыс.руб., перечислен аванс 48% от цены контракта, что составило 42 720,00 тыс. руб.
- сроки выполнения работ: 15.08.2025
- работы выполнены с нарушением сроков., 
7 . Муниципальный контракт Кг-187.25 от 12.08.2025 на осуществление технологического присоединения к электрическим сетям Экотропа в городе Когалыме
- цена контракта 50,47920 тыс. руб.
- сроки выполнения работ по 12.12.2025
- сроки выполнения работ: 25.08.2025
- ведется выполнение работ</t>
      </is>
    </oc>
    <n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30.09.2024-01.08.2025; II - этап 15.05.2025-25.08.2025 (планируется продление сроков по 31.10.2025)
- ведется выполнение работ.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перечислен аванс 30% от цены контракта, что составило 89 400,00 тыс. руб.
- сроки выполнения работ: 25.08.2025 года  (планируется продление сроков по 31.10.2025)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 ведется расторжение контракта.                                       4.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 ведется расторжение контракта.
5.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99 000,00 тыс.руб., перечислен аванс 70% от цены контракта, что составило 69 300,00 тыс.руб.
- сроки выполнения работ: 25.08.2025
На отчетную дату готовность объекта 100 %.                                                      7. Муниципальный контракт № 0187300013725000024 от 26.03.2025 на выполнение работ по благоустройству объекта "Экотропа в городе Когалыме"
- цена контракта: 89 000,00 тыс.руб., перечислен аванс 48% от цены контракта, что составило 42 720,00 тыс. руб.
- сроки выполнения работ: 15.08.2025
- работы выполнены с нарушением сроков., 
8 . Муниципальный контракт Кг-187.25 от 12.08.2025 на осуществление технологического присоединения к электрическим сетям Экотропа в городе Когалыме
- цена контракта 50,47920 тыс. руб.
- сроки выполнения работ по 12.12.2025
- сроки выполнения работ: 25.08.2025
- ведется выполнение работ</t>
      </is>
    </nc>
    <odxf>
      <alignment horizontal="general" readingOrder="0"/>
      <border outline="0">
        <bottom style="thin">
          <color indexed="64"/>
        </bottom>
      </border>
    </odxf>
    <ndxf>
      <alignment horizontal="left" readingOrder="0"/>
      <border outline="0">
        <bottom/>
      </border>
    </ndxf>
  </rcc>
  <rfmt sheetId="3" sqref="AH15" start="0" length="0">
    <dxf>
      <font>
        <b val="0"/>
        <sz val="9"/>
        <color auto="1"/>
        <name val="Times New Roman"/>
        <scheme val="none"/>
      </font>
      <alignment horizontal="left" readingOrder="0"/>
      <border outline="0">
        <top/>
        <bottom/>
      </border>
    </dxf>
  </rfmt>
  <rfmt sheetId="3" sqref="AH16" start="0" length="0">
    <dxf>
      <font>
        <sz val="9"/>
        <color auto="1"/>
        <name val="Times New Roman"/>
        <scheme val="none"/>
      </font>
      <alignment horizontal="left" readingOrder="0"/>
      <border outline="0">
        <top/>
      </border>
    </dxf>
  </rfmt>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B686A221_D885_4536_BEAC_E7F4BBC02150_.wvu.Rows" hidden="1" oldHidden="1">
    <formula>'1. РО'!$28:$28,'1. РО'!$32:$32,'1. РО'!$52:$52,'1. РО'!$61:$61,'1. РО'!$73:$73,'1. РО'!$77:$77</formula>
  </rdn>
  <rdn rId="0" localSheetId="4" customView="1" name="Z_B686A221_D885_4536_BEAC_E7F4BBC02150_.wvu.Rows" hidden="1" oldHidden="1">
    <formula>'4. КП'!$23:$23,'4. КП'!$27:$27,'4. КП'!$68:$68,'4. КП'!$75:$75,'4. КП'!$83:$83,'4. КП'!$87:$88,'4. КП'!$91:$91,'4. КП'!$93:$93</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rdn>
  <rdn rId="0" localSheetId="6" customView="1" name="Z_B686A221_D885_4536_BEAC_E7F4BBC02150_.wvu.Rows" hidden="1" oldHidden="1">
    <formula>'6. СЗН'!$9:$9,'6. СЗН'!$14:$14,'6. СЗН'!$18:$18,'6. СЗН'!$22:$22,'6. СЗН'!$26:$26,'6. СЗН'!$30:$31,'6. СЗН'!$34:$34,'6. СЗН'!$36:$36,'6. СЗН'!$39:$39,'6. СЗН'!$43:$43,'6. СЗН'!$45:$45,'6. СЗН'!$47:$48</formula>
  </rdn>
  <rdn rId="0" localSheetId="9" customView="1" name="Z_B686A221_D885_4536_BEAC_E7F4BBC02150_.wvu.Rows" hidden="1" oldHidden="1">
    <formula>'9. РЖКК'!$14:$14,'9. РЖКК'!$28:$28</formula>
  </rdn>
  <rdn rId="0" localSheetId="14" customView="1" name="Z_B686A221_D885_4536_BEAC_E7F4BBC02150_.wvu.Rows" hidden="1" oldHidden="1">
    <formula>'14. РТС'!$14:$15,'14. РТС'!$19:$19,'14. РТС'!$30:$30,'14. РТС'!$33:$33,'14. РТС'!$36:$36,'14. РТС'!$43:$43</formula>
  </rdn>
  <rdn rId="0" localSheetId="17" customView="1" name="Z_B686A221_D885_4536_BEAC_E7F4BBC02150_.wvu.PrintTitles" hidden="1" oldHidden="1">
    <formula>'17. УМИ'!$4:$7</formula>
  </rdn>
  <rdn rId="0" localSheetId="20" customView="1" name="Z_B686A221_D885_4536_BEAC_E7F4BBC02150_.wvu.Rows" hidden="1" oldHidden="1">
    <formula>'20. МСП'!$19:$19</formula>
  </rdn>
  <rcv guid="{B686A221-D885-4536-BEAC-E7F4BBC0215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14:AG22" start="0" length="2147483647">
    <dxf>
      <font>
        <color rgb="FFFF0000"/>
      </font>
    </dxf>
  </rfmt>
  <rfmt sheetId="11" sqref="J25:AG25" start="0" length="2147483647">
    <dxf>
      <font>
        <color rgb="FFFF0000"/>
      </font>
    </dxf>
  </rfmt>
  <rfmt sheetId="11" sqref="J27:AG27" start="0" length="2147483647">
    <dxf>
      <font>
        <color rgb="FFFF0000"/>
      </font>
    </dxf>
  </rfmt>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P14" start="0" length="2147483647">
    <dxf>
      <font>
        <color auto="1"/>
      </font>
    </dxf>
  </rfmt>
  <rfmt sheetId="11" sqref="R14" start="0" length="2147483647">
    <dxf>
      <font>
        <color auto="1"/>
      </font>
    </dxf>
  </rfmt>
  <rfmt sheetId="11" sqref="T13:T14" start="0" length="2147483647">
    <dxf>
      <font>
        <color auto="1"/>
      </font>
    </dxf>
  </rfmt>
  <rfmt sheetId="11" sqref="V14" start="0" length="2147483647">
    <dxf>
      <font>
        <color auto="1"/>
      </font>
    </dxf>
  </rfmt>
  <rfmt sheetId="11" sqref="X14" start="0" length="2147483647">
    <dxf>
      <font>
        <color auto="1"/>
      </font>
    </dxf>
  </rfmt>
  <rfmt sheetId="11" sqref="Z14" start="0" length="2147483647">
    <dxf>
      <font>
        <color auto="1"/>
      </font>
    </dxf>
  </rfmt>
  <rfmt sheetId="11" sqref="AB14" start="0" length="2147483647">
    <dxf>
      <font>
        <color auto="1"/>
      </font>
    </dxf>
  </rfmt>
  <rfmt sheetId="11" sqref="AD14" start="0" length="2147483647">
    <dxf>
      <font>
        <color auto="1"/>
      </font>
    </dxf>
  </rfmt>
  <rfmt sheetId="11" sqref="AF14" start="0" length="2147483647">
    <dxf>
      <font>
        <color auto="1"/>
      </font>
    </dxf>
  </rfmt>
  <rfmt sheetId="11" sqref="D13:I22" start="0" length="2147483647">
    <dxf>
      <font>
        <color rgb="FFFF0000"/>
      </font>
    </dxf>
  </rfmt>
  <rfmt sheetId="11" sqref="D11:I12" start="0" length="2147483647">
    <dxf>
      <font>
        <color rgb="FFFF0000"/>
      </font>
    </dxf>
  </rfmt>
  <rfmt sheetId="11" sqref="D8:I9" start="0" length="2147483647">
    <dxf>
      <font>
        <color rgb="FFFF0000"/>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21:B23" start="0" length="2147483647">
    <dxf>
      <font>
        <color auto="1"/>
      </font>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14:O14" start="0" length="2147483647">
    <dxf>
      <font>
        <color auto="1"/>
      </font>
    </dxf>
  </rfmt>
  <rfmt sheetId="11" sqref="O14" start="0" length="2147483647">
    <dxf>
      <font>
        <color rgb="FFFF0000"/>
      </font>
    </dxf>
  </rfmt>
  <rfmt sheetId="11" sqref="M14" start="0" length="2147483647">
    <dxf>
      <font>
        <color rgb="FFFF0000"/>
      </font>
    </dxf>
  </rfmt>
  <rfmt sheetId="11" sqref="K14" start="0" length="2147483647">
    <dxf>
      <font>
        <color rgb="FFFF0000"/>
      </font>
    </dxf>
  </rfmt>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15" start="0" length="2147483647">
    <dxf>
      <font>
        <color auto="1"/>
      </font>
    </dxf>
  </rfmt>
  <rfmt sheetId="11" sqref="L15" start="0" length="2147483647">
    <dxf>
      <font>
        <color auto="1"/>
      </font>
    </dxf>
  </rfmt>
  <rfmt sheetId="11" sqref="J16" start="0" length="2147483647">
    <dxf>
      <font>
        <color auto="1"/>
      </font>
    </dxf>
  </rfmt>
  <rfmt sheetId="11" sqref="L16" start="0" length="2147483647">
    <dxf>
      <font>
        <color auto="1"/>
      </font>
    </dxf>
  </rfmt>
  <rfmt sheetId="11" sqref="N15:N16" start="0" length="2147483647">
    <dxf>
      <font>
        <color auto="1"/>
      </font>
    </dxf>
  </rfmt>
  <rfmt sheetId="11" sqref="P15:P16" start="0" length="2147483647">
    <dxf>
      <font>
        <color auto="1"/>
      </font>
    </dxf>
  </rfmt>
  <rfmt sheetId="11" sqref="R15:R16" start="0" length="2147483647">
    <dxf>
      <font>
        <color auto="1"/>
      </font>
    </dxf>
  </rfmt>
  <rcc rId="484" sId="11" numFmtId="4">
    <oc r="T16">
      <v>128</v>
    </oc>
    <nc r="T16">
      <v>162.15</v>
    </nc>
  </rcc>
  <rfmt sheetId="11" sqref="T15:T16" start="0" length="2147483647">
    <dxf>
      <font>
        <color auto="1"/>
      </font>
    </dxf>
  </rfmt>
  <rcc rId="485" sId="11" numFmtId="4">
    <oc r="V16">
      <v>102.9</v>
    </oc>
    <nc r="V16">
      <v>78.900000000000006</v>
    </nc>
  </rcc>
  <rfmt sheetId="11" sqref="V15:V16" start="0" length="2147483647">
    <dxf>
      <font>
        <color auto="1"/>
      </font>
    </dxf>
  </rfmt>
  <rfmt sheetId="11" sqref="X15:X16" start="0" length="2147483647">
    <dxf>
      <font>
        <color auto="1"/>
      </font>
    </dxf>
  </rfmt>
  <rfmt sheetId="11" sqref="Z15:Z16" start="0" length="2147483647">
    <dxf>
      <font>
        <color auto="1"/>
      </font>
    </dxf>
  </rfmt>
  <rfmt sheetId="11" sqref="AB15:AB16" start="0" length="2147483647">
    <dxf>
      <font>
        <color auto="1"/>
      </font>
    </dxf>
  </rfmt>
  <rfmt sheetId="11" sqref="AD15:AD16" start="0" length="2147483647">
    <dxf>
      <font>
        <color auto="1"/>
      </font>
    </dxf>
  </rfmt>
  <rcc rId="486" sId="11" numFmtId="4">
    <oc r="AF16">
      <v>10.15</v>
    </oc>
    <nc r="AF16">
      <v>0</v>
    </nc>
  </rcc>
  <rfmt sheetId="11" sqref="AF15:AF16" start="0" length="2147483647">
    <dxf>
      <font>
        <color auto="1"/>
      </font>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18" start="0" length="2147483647">
    <dxf>
      <font>
        <color auto="1"/>
      </font>
    </dxf>
  </rfmt>
  <rfmt sheetId="11" sqref="J17" start="0" length="2147483647">
    <dxf>
      <font>
        <color auto="1"/>
      </font>
    </dxf>
  </rfmt>
  <rfmt sheetId="11" sqref="L18" start="0" length="2147483647">
    <dxf>
      <font>
        <color auto="1"/>
      </font>
    </dxf>
  </rfmt>
  <rfmt sheetId="11" sqref="N17:N18" start="0" length="2147483647">
    <dxf>
      <font>
        <color auto="1"/>
      </font>
    </dxf>
  </rfmt>
  <rfmt sheetId="11" sqref="P17:P18" start="0" length="2147483647">
    <dxf>
      <font>
        <color auto="1"/>
      </font>
    </dxf>
  </rfmt>
  <rfmt sheetId="11" sqref="R17:R18" start="0" length="2147483647">
    <dxf>
      <font>
        <color auto="1"/>
      </font>
    </dxf>
  </rfmt>
  <rfmt sheetId="11" sqref="T17:T18" start="0" length="2147483647">
    <dxf>
      <font>
        <color auto="1"/>
      </font>
    </dxf>
  </rfmt>
  <rfmt sheetId="11" sqref="V17:V18" start="0" length="2147483647">
    <dxf>
      <font>
        <color auto="1"/>
      </font>
    </dxf>
  </rfmt>
  <rfmt sheetId="11" sqref="X17:X18" start="0" length="2147483647">
    <dxf>
      <font>
        <color auto="1"/>
      </font>
    </dxf>
  </rfmt>
  <rfmt sheetId="11" sqref="Z17:Z18" start="0" length="2147483647">
    <dxf>
      <font>
        <color auto="1"/>
      </font>
    </dxf>
  </rfmt>
  <rfmt sheetId="11" sqref="AB17:AB18" start="0" length="2147483647">
    <dxf>
      <font>
        <color auto="1"/>
      </font>
    </dxf>
  </rfmt>
  <rfmt sheetId="11" sqref="AD17:AD18" start="0" length="2147483647">
    <dxf>
      <font>
        <color auto="1"/>
      </font>
    </dxf>
  </rfmt>
  <rcc rId="487" sId="11" numFmtId="4">
    <oc r="AF18">
      <v>2825.5830000000001</v>
    </oc>
    <nc r="AF18">
      <v>2615.5830000000001</v>
    </nc>
  </rcc>
  <rfmt sheetId="11" sqref="AF17:AF18" start="0" length="2147483647">
    <dxf>
      <font>
        <color auto="1"/>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8" sId="11" numFmtId="4">
    <oc r="J18">
      <v>232.477</v>
    </oc>
    <nc r="J18">
      <v>232.476</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19:J20" start="0" length="2147483647">
    <dxf>
      <font>
        <color auto="1"/>
      </font>
    </dxf>
  </rfmt>
  <rfmt sheetId="11" sqref="L19:L20" start="0" length="2147483647">
    <dxf>
      <font>
        <color auto="1"/>
      </font>
    </dxf>
  </rfmt>
  <rfmt sheetId="11" sqref="N19:N20" start="0" length="2147483647">
    <dxf>
      <font>
        <color auto="1"/>
      </font>
    </dxf>
  </rfmt>
  <rfmt sheetId="11" sqref="P19:P20" start="0" length="2147483647">
    <dxf>
      <font>
        <color auto="1"/>
      </font>
    </dxf>
  </rfmt>
  <rfmt sheetId="11" sqref="R19:R20" start="0" length="2147483647">
    <dxf>
      <font>
        <color auto="1"/>
      </font>
    </dxf>
  </rfmt>
  <rfmt sheetId="11" sqref="T19:T20" start="0" length="2147483647">
    <dxf>
      <font>
        <color auto="1"/>
      </font>
    </dxf>
  </rfmt>
  <rfmt sheetId="11" sqref="V19:V20" start="0" length="2147483647">
    <dxf>
      <font>
        <color auto="1"/>
      </font>
    </dxf>
  </rfmt>
  <rfmt sheetId="11" sqref="X19:X20" start="0" length="2147483647">
    <dxf>
      <font>
        <color auto="1"/>
      </font>
    </dxf>
  </rfmt>
  <rfmt sheetId="11" sqref="Z19:Z20" start="0" length="2147483647">
    <dxf>
      <font>
        <color auto="1"/>
      </font>
    </dxf>
  </rfmt>
  <rfmt sheetId="11" sqref="AB19:AB20" start="0" length="2147483647">
    <dxf>
      <font>
        <color auto="1"/>
      </font>
    </dxf>
  </rfmt>
  <rcc rId="489" sId="11" numFmtId="4">
    <oc r="AB20">
      <v>0</v>
    </oc>
    <nc r="AB20">
      <v>75.180000000000007</v>
    </nc>
  </rcc>
  <rcc rId="490" sId="11" numFmtId="4">
    <oc r="AD20">
      <v>100</v>
    </oc>
    <nc r="AD20">
      <v>24.82</v>
    </nc>
  </rcc>
  <rfmt sheetId="11" sqref="AD19:AD20" start="0" length="2147483647">
    <dxf>
      <font>
        <color auto="1"/>
      </font>
    </dxf>
  </rfmt>
  <rfmt sheetId="11" sqref="AF19:AF20" start="0" length="2147483647">
    <dxf>
      <font>
        <color auto="1"/>
      </font>
    </dxf>
  </rfmt>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21:J22" start="0" length="2147483647">
    <dxf>
      <font>
        <color auto="1"/>
      </font>
    </dxf>
  </rfmt>
  <rfmt sheetId="11" sqref="L21:L22" start="0" length="2147483647">
    <dxf>
      <font>
        <color auto="1"/>
      </font>
    </dxf>
  </rfmt>
  <rfmt sheetId="11" sqref="N21:N22" start="0" length="2147483647">
    <dxf>
      <font>
        <color auto="1"/>
      </font>
    </dxf>
  </rfmt>
  <rfmt sheetId="11" sqref="P21:P22" start="0" length="2147483647">
    <dxf>
      <font>
        <color auto="1"/>
      </font>
    </dxf>
  </rfmt>
  <rfmt sheetId="11" sqref="R21:R22" start="0" length="2147483647">
    <dxf>
      <font>
        <color auto="1"/>
      </font>
    </dxf>
  </rfmt>
  <rcc rId="491" sId="11" numFmtId="4">
    <oc r="T22">
      <v>10.08</v>
    </oc>
    <nc r="T22">
      <v>10.56</v>
    </nc>
  </rcc>
  <rfmt sheetId="11" sqref="T21:T22" start="0" length="2147483647">
    <dxf>
      <font>
        <color auto="1"/>
      </font>
    </dxf>
  </rfmt>
  <rcc rId="492" sId="11" numFmtId="4">
    <oc r="V22">
      <v>48.08</v>
    </oc>
    <nc r="V22">
      <v>48.56</v>
    </nc>
  </rcc>
  <rfmt sheetId="11" sqref="V21:V22" start="0" length="2147483647">
    <dxf>
      <font>
        <color auto="1"/>
      </font>
    </dxf>
  </rfmt>
  <rcc rId="493" sId="11" numFmtId="4">
    <oc r="X22">
      <v>26.62</v>
    </oc>
    <nc r="X22">
      <v>31.46</v>
    </nc>
  </rcc>
  <rfmt sheetId="11" sqref="X21:X22" start="0" length="2147483647">
    <dxf>
      <font>
        <color auto="1"/>
      </font>
    </dxf>
  </rfmt>
  <rcc rId="494" sId="11" numFmtId="4">
    <oc r="Z22">
      <v>36.700000000000003</v>
    </oc>
    <nc r="Z22">
      <v>31.46</v>
    </nc>
  </rcc>
  <rfmt sheetId="11" sqref="Z21:Z22" start="0" length="2147483647">
    <dxf>
      <font>
        <color auto="1"/>
      </font>
    </dxf>
  </rfmt>
  <rcc rId="495" sId="11" numFmtId="4">
    <oc r="AB22">
      <v>36.700000000000003</v>
    </oc>
    <nc r="AB22">
      <v>36.14</v>
    </nc>
  </rcc>
  <rfmt sheetId="11" sqref="AB21:AB22" start="0" length="2147483647">
    <dxf>
      <font>
        <color auto="1"/>
      </font>
    </dxf>
  </rfmt>
  <rfmt sheetId="11" sqref="AD21:AD22" start="0" length="2147483647">
    <dxf>
      <font>
        <color auto="1"/>
      </font>
    </dxf>
  </rfmt>
  <rfmt sheetId="11" sqref="AF21:AF22" start="0" length="2147483647">
    <dxf>
      <font>
        <color auto="1"/>
      </font>
    </dxf>
  </rfmt>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25" start="0" length="2147483647">
    <dxf>
      <font>
        <color auto="1"/>
      </font>
    </dxf>
  </rfmt>
  <rfmt sheetId="11" sqref="L25" start="0" length="2147483647">
    <dxf>
      <font>
        <color auto="1"/>
      </font>
    </dxf>
  </rfmt>
  <rcc rId="496" sId="11" numFmtId="4">
    <oc r="N25">
      <v>606.82600000000002</v>
    </oc>
    <nc r="N25">
      <v>664.92600000000004</v>
    </nc>
  </rcc>
  <rfmt sheetId="11" sqref="N25" start="0" length="2147483647">
    <dxf>
      <font>
        <color auto="1"/>
      </font>
    </dxf>
  </rfmt>
  <rcc rId="497" sId="11" numFmtId="4">
    <oc r="P25">
      <v>884.33</v>
    </oc>
    <nc r="P25">
      <v>792.03</v>
    </nc>
  </rcc>
  <rfmt sheetId="11" sqref="P25" start="0" length="2147483647">
    <dxf>
      <font>
        <color auto="1"/>
      </font>
    </dxf>
  </rfmt>
  <rfmt sheetId="11" sqref="R25" start="0" length="2147483647">
    <dxf>
      <font>
        <color auto="1"/>
      </font>
    </dxf>
  </rfmt>
  <rcc rId="498" sId="11" numFmtId="4">
    <oc r="T25">
      <v>606.82600000000002</v>
    </oc>
    <nc r="T25">
      <v>775.86699999999996</v>
    </nc>
  </rcc>
  <rfmt sheetId="11" sqref="T25" start="0" length="2147483647">
    <dxf>
      <font>
        <color auto="1"/>
      </font>
    </dxf>
  </rfmt>
  <rfmt sheetId="11" sqref="V25" start="0" length="2147483647">
    <dxf>
      <font>
        <color auto="1"/>
      </font>
    </dxf>
  </rfmt>
  <rfmt sheetId="11" sqref="X25" start="0" length="2147483647">
    <dxf>
      <font>
        <color auto="1"/>
      </font>
    </dxf>
  </rfmt>
  <rcc rId="499" sId="11" numFmtId="4">
    <oc r="Z25">
      <v>606.82600000000002</v>
    </oc>
    <nc r="Z25">
      <v>531.82600000000002</v>
    </nc>
  </rcc>
  <rfmt sheetId="11" sqref="Z25" start="0" length="2147483647">
    <dxf>
      <font>
        <color auto="1"/>
      </font>
    </dxf>
  </rfmt>
  <rfmt sheetId="11" sqref="AB25" start="0" length="2147483647">
    <dxf>
      <font>
        <color auto="1"/>
      </font>
    </dxf>
  </rfmt>
  <rfmt sheetId="11" sqref="AD25" start="0" length="2147483647">
    <dxf>
      <font>
        <color auto="1"/>
      </font>
    </dxf>
  </rfmt>
  <rcc rId="500" sId="11" numFmtId="4">
    <oc r="AF25">
      <v>756.86500000000001</v>
    </oc>
    <nc r="AF25">
      <v>357.72399999999999</v>
    </nc>
  </rcc>
  <rfmt sheetId="11" sqref="AF25" start="0" length="2147483647">
    <dxf>
      <font>
        <color auto="1"/>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AD25" start="0" length="2147483647">
    <dxf>
      <font>
        <color rgb="FF00B0F0"/>
      </font>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J27" start="0" length="2147483647">
    <dxf>
      <font>
        <color auto="1"/>
      </font>
    </dxf>
  </rfmt>
  <rcc rId="501" sId="11" numFmtId="4">
    <oc r="L27">
      <v>3173.777</v>
    </oc>
    <nc r="L27">
      <v>3185.777</v>
    </nc>
  </rcc>
  <rfmt sheetId="11" sqref="L27" start="0" length="2147483647">
    <dxf>
      <font>
        <color auto="1"/>
      </font>
    </dxf>
  </rfmt>
  <rcc rId="502" sId="11" numFmtId="4">
    <oc r="N27">
      <v>3311.1770000000001</v>
    </oc>
    <nc r="N27">
      <v>3311.9769999999999</v>
    </nc>
  </rcc>
  <rfmt sheetId="11" sqref="N27" start="0" length="2147483647">
    <dxf>
      <font>
        <color auto="1"/>
      </font>
    </dxf>
  </rfmt>
  <rcc rId="503" sId="11" numFmtId="4">
    <oc r="P27">
      <v>3783.3470000000002</v>
    </oc>
    <nc r="P27">
      <v>3771.3470000000002</v>
    </nc>
  </rcc>
  <rfmt sheetId="11" sqref="P27" start="0" length="2147483647">
    <dxf>
      <font>
        <color auto="1"/>
      </font>
    </dxf>
  </rfmt>
  <rfmt sheetId="11" sqref="R27" start="0" length="2147483647">
    <dxf>
      <font>
        <color auto="1"/>
      </font>
    </dxf>
  </rfmt>
  <rfmt sheetId="11" sqref="T27" start="0" length="2147483647">
    <dxf>
      <font>
        <color auto="1"/>
      </font>
    </dxf>
  </rfmt>
  <rfmt sheetId="11" sqref="V27" start="0" length="2147483647">
    <dxf>
      <font>
        <color auto="1"/>
      </font>
    </dxf>
  </rfmt>
  <rfmt sheetId="11" sqref="X27" start="0" length="2147483647">
    <dxf>
      <font>
        <color auto="1"/>
      </font>
    </dxf>
  </rfmt>
  <rfmt sheetId="11" sqref="Z27" start="0" length="2147483647">
    <dxf>
      <font>
        <color auto="1"/>
      </font>
    </dxf>
  </rfmt>
  <rfmt sheetId="11" sqref="AB27" start="0" length="2147483647">
    <dxf>
      <font>
        <color auto="1"/>
      </font>
    </dxf>
  </rfmt>
  <rfmt sheetId="11" sqref="AD27" start="0" length="2147483647">
    <dxf>
      <font>
        <color auto="1"/>
      </font>
    </dxf>
  </rfmt>
  <rcc rId="504" sId="11" numFmtId="4">
    <oc r="AF27">
      <v>3433.9169999999999</v>
    </oc>
    <nc r="AF27">
      <v>3433.1170000000002</v>
    </nc>
  </rcc>
  <rfmt sheetId="11" sqref="AF27" start="0" length="2147483647">
    <dxf>
      <font>
        <color auto="1"/>
      </font>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5" sId="10" numFmtId="4">
    <oc r="AC14">
      <v>0</v>
    </oc>
    <nc r="AC14">
      <v>36.85</v>
    </nc>
  </rcc>
  <rcc rId="506" sId="10" numFmtId="4">
    <oc r="AC15">
      <v>0</v>
    </oc>
    <nc r="AC15">
      <v>91.31</v>
    </nc>
  </rcc>
  <rfmt sheetId="10" sqref="AC1:AC1048576">
    <dxf>
      <fill>
        <patternFill>
          <bgColor theme="4" tint="0.79998168889431442"/>
        </patternFill>
      </fill>
    </dxf>
  </rfmt>
  <rcc rId="507" sId="10" numFmtId="4">
    <oc r="AC20">
      <v>0</v>
    </oc>
    <nc r="AC20">
      <v>6.8630000000000004</v>
    </nc>
  </rcc>
  <rcc rId="508" sId="10" numFmtId="4">
    <oc r="AC19">
      <v>0</v>
    </oc>
    <nc r="AC19">
      <v>200.953</v>
    </nc>
  </rcc>
  <rcc rId="509" sId="10" numFmtId="4">
    <oc r="AC35">
      <v>0</v>
    </oc>
    <nc r="AC35">
      <v>1067.884</v>
    </nc>
  </rcc>
  <rcc rId="510" sId="10" numFmtId="4">
    <oc r="AC38">
      <v>0</v>
    </oc>
    <nc r="AC38">
      <v>596.74900000000002</v>
    </nc>
  </rcc>
  <rcc rId="511" sId="10" numFmtId="4">
    <oc r="AC22">
      <v>0</v>
    </oc>
    <nc r="AC22">
      <v>2.79</v>
    </nc>
  </rcc>
  <rcc rId="512" sId="10" numFmtId="4">
    <oc r="AC24">
      <v>0</v>
    </oc>
    <nc r="AC24">
      <v>4.1760000000000002</v>
    </nc>
  </rcc>
  <rcc rId="513" sId="10" numFmtId="4">
    <oc r="AC31">
      <v>0</v>
    </oc>
    <nc r="AC31">
      <v>5.76</v>
    </nc>
  </rcc>
  <rcc rId="514" sId="10" numFmtId="4">
    <oc r="AC33">
      <v>0</v>
    </oc>
    <nc r="AC33">
      <v>89.507999999999996</v>
    </nc>
  </rcc>
  <rcc rId="515" sId="10" numFmtId="4">
    <oc r="AC17">
      <v>0</v>
    </oc>
    <nc r="AC17">
      <v>708.67499999999995</v>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8" numFmtId="19">
    <oc r="E6">
      <v>45870</v>
    </oc>
    <nc r="E6">
      <v>45901</v>
    </nc>
  </rcc>
  <rcc rId="24" sId="8" numFmtId="19">
    <oc r="F6">
      <v>45870</v>
    </oc>
    <nc r="F6">
      <v>45901</v>
    </nc>
  </rcc>
  <rcc rId="25" sId="8" numFmtId="19">
    <oc r="G6">
      <v>45870</v>
    </oc>
    <nc r="G6">
      <v>45901</v>
    </nc>
  </rcc>
  <rcc rId="26" sId="8">
    <oc r="E9">
      <f>J9+L9+N9+P9+R9+T9+V9</f>
    </oc>
    <nc r="E9">
      <f>J9+L9+N9+P9+R9+T9+V9+X9</f>
    </nc>
  </rcc>
  <rcc rId="27" sId="8">
    <oc r="E10">
      <f>J10+L10+N10+P10+R10+T10+V10</f>
    </oc>
    <nc r="E10">
      <f>J10+L10+N10+P10+R10+T10+V10+X10</f>
    </nc>
  </rcc>
  <rcc rId="28" sId="8">
    <oc r="E11">
      <f>J11+L11+N11+P11+R11+T11+V11</f>
    </oc>
    <nc r="E11">
      <f>J11+L11+N11+P11+R11+T11+V11+X11</f>
    </nc>
  </rcc>
  <rcc rId="29" sId="8">
    <oc r="E14">
      <f>J14+L14+N14+P14+R14+T14+V14</f>
    </oc>
    <nc r="E14">
      <f>J14+L14+N14+P14+R14+T14+V14+X14</f>
    </nc>
  </rcc>
  <rcc rId="30" sId="8">
    <oc r="E15">
      <f>J15+L15+N15+P15+R15+T15+V15</f>
    </oc>
    <nc r="E15">
      <f>J15+L15+N15+P15+R15+T15+V15+X15</f>
    </nc>
  </rcc>
  <rcc rId="31" sId="8">
    <oc r="E16">
      <f>J16+L16+N16+P16+R16+T16+V16</f>
    </oc>
    <nc r="E16">
      <f>J16+L16+N16+P16+R16+T16+V16+X16</f>
    </nc>
  </rcc>
  <rcc rId="32" sId="8">
    <oc r="E19">
      <f>J19+L19+N19+P19+R19+T19+V19</f>
    </oc>
    <nc r="E19">
      <f>J19+L19+N19+P19+R19+T19+V19+X19</f>
    </nc>
  </rcc>
  <rcc rId="33" sId="8">
    <oc r="E20">
      <f>J20+L20+N20+P20+R20+T20+V20</f>
    </oc>
    <nc r="E20">
      <f>J20+L20+N20+P20+R20+T20+V20+X20</f>
    </nc>
  </rcc>
  <rcc rId="34" sId="8">
    <oc r="E22">
      <f>J22+L22+N22+P22+R22+T22+V22</f>
    </oc>
    <nc r="E22">
      <f>J22+L22+N22+P22+R22+T22+V22+X22</f>
    </nc>
  </rcc>
  <rcc rId="35" sId="8">
    <oc r="E23">
      <f>J23+L23+N23+P23+R23+T23+V23</f>
    </oc>
    <nc r="E23">
      <f>J23+L23+N23+P23+R23+T23+V23+X23</f>
    </nc>
  </rcc>
  <rcc rId="36" sId="8">
    <oc r="E25">
      <f>J25+L25+N25+P25+R25+T25+V25</f>
    </oc>
    <nc r="E25">
      <f>J25+L25+N25+P25+R25+T25+V25+X25</f>
    </nc>
  </rcc>
  <rcc rId="37" sId="8">
    <oc r="E26">
      <f>J26+L26+N26+P26+R26+T26+V26</f>
    </oc>
    <nc r="E26">
      <f>J26+L26+N26+P26+R26+T26+V26+X26</f>
    </nc>
  </rcc>
  <rcc rId="38" sId="8">
    <oc r="E28">
      <f>J28+L28+N28+P28+R28+T28+V28</f>
    </oc>
    <nc r="E28">
      <f>J28+L28+N28+P28+R28+T28+V28+X28</f>
    </nc>
  </rcc>
  <rcc rId="39" sId="8">
    <oc r="E29">
      <f>J29+L29+N29+P29+R29+T29+V29</f>
    </oc>
    <nc r="E29">
      <f>J29+L29+N29+P29+R29+T29+V29+X29</f>
    </nc>
  </rcc>
  <rcc rId="40" sId="8">
    <oc r="E31">
      <f>J31+L31+N31+P31+R31+T31+V31</f>
    </oc>
    <nc r="E31">
      <f>J31+L31+N31+P31+R31+T31+V31+X31</f>
    </nc>
  </rcc>
  <rcc rId="41" sId="8">
    <oc r="E32">
      <f>J32+L32+N32+P32+R32+T32+V32</f>
    </oc>
    <nc r="E32">
      <f>J32+L32+N32+P32+R32+T32+V32+X32</f>
    </nc>
  </rcc>
  <rcc rId="42" sId="8">
    <oc r="E35">
      <f>J35+L35+N35+P35+R35+T35+V35</f>
    </oc>
    <nc r="E35">
      <f>J35+L35+N35+P35+R35+T35+V35+X35</f>
    </nc>
  </rcc>
  <rcc rId="43" sId="8">
    <oc r="E36">
      <f>J36+L36+N36+P36+R36+T36+V36</f>
    </oc>
    <nc r="E36">
      <f>J36+L36+N36+P36+R36+T36+V36+X36</f>
    </nc>
  </rcc>
  <rcc rId="44" sId="8">
    <oc r="E37">
      <f>J37+L37+N37+P37+R37+T37+V37</f>
    </oc>
    <nc r="E37">
      <f>J37+L37+N37+P37+R37+T37+V37+X37</f>
    </nc>
  </rcc>
  <rcc rId="45" sId="8">
    <oc r="E39">
      <f>J39+L39+N39+P39+R39+T39+V39</f>
    </oc>
    <nc r="E39">
      <f>J39+L39+N39+P39+R39+T39+V39+X39</f>
    </nc>
  </rcc>
  <rcc rId="46" sId="8">
    <oc r="E41">
      <f>J41+L41+N41+P41+R41+T41+V41</f>
    </oc>
    <nc r="E41">
      <f>J41+L41+N41+P41+R41+T41+V41+X41</f>
    </nc>
  </rcc>
  <rcc rId="47" sId="8">
    <oc r="E43">
      <f>J43+L43+N43+P43+R43+T43+V43</f>
    </oc>
    <nc r="E43">
      <f>J43+L43+N43+P43+R43+T43+V43+X43</f>
    </nc>
  </rcc>
  <rcc rId="48" sId="8">
    <oc r="E44">
      <f>J44+L44+N44+P44+R44+T44+V44</f>
    </oc>
    <nc r="E44">
      <f>J44+L44+N44+P44+R44+T44+V44+X44</f>
    </nc>
  </rcc>
  <rcc rId="49" sId="8">
    <oc r="E46">
      <f>J46+L46+N46+P46+R46+T46+V46</f>
    </oc>
    <nc r="E46">
      <f>J46+L46+N46+P46+R46+T46+V46+X46</f>
    </nc>
  </rcc>
  <rcc rId="50" sId="8">
    <oc r="E47">
      <f>J47+L47+N47+P47+R47+T47+V47</f>
    </oc>
    <nc r="E47">
      <f>J47+L47+N47+P47+R47+T47+V47+X47</f>
    </nc>
  </rcc>
  <rcc rId="51" sId="8">
    <oc r="E50">
      <f>J50+L50+N50+P50+R50+T50+V50</f>
    </oc>
    <nc r="E50">
      <f>J50+L50+N50+P50+R50+T50+V50+X50</f>
    </nc>
  </rcc>
  <rcc rId="52" sId="8">
    <oc r="E52">
      <f>J52+L52+N52+P52+R52+T52+V52</f>
    </oc>
    <nc r="E52">
      <f>J52+L52+N52+P52+R52+T52+V52+X52</f>
    </nc>
  </rcc>
  <rcc rId="53" sId="8">
    <oc r="E54">
      <f>J54+L54+N54+P54+R54+T54+V54</f>
    </oc>
    <nc r="E54">
      <f>J54+L54+N54+P54+R54+T54+V54+X54</f>
    </nc>
  </rcc>
  <rcc rId="54" sId="8">
    <oc r="E56">
      <f>J56+L56+N56+P56+R56+T56+V56</f>
    </oc>
    <nc r="E56">
      <f>J56+L56+N56+P56+R56+T56+V56+X56</f>
    </nc>
  </rcc>
  <rcc rId="55" sId="8">
    <oc r="E58">
      <f>J58+L58+N58+P58+R58+T58+V58</f>
    </oc>
    <nc r="E58">
      <f>J58+L58+N58+P58+R58+T58+V58+X58</f>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 sId="10">
    <oc r="AH16" t="inlineStr">
      <is>
        <t>Отклонение сложилось  в результате оплаты электрической энергии согласно показанию счетчиков по факту.</t>
      </is>
    </oc>
    <nc r="AH16" t="inlineStr">
      <is>
        <t>Заключен МК ЭС1902000064/25 от 13.12.2024 года, оказание
коммунальных услуг по поставке электрической энергии (камеры ИТКБ,
камеры Одиссей, здание МКУ "ЕДДС").
Заключен МК № 01873000137240002430001 от 25.10.2024 года, на
оказание услуг по техническому, эксплуатационному обслуживанию и
ремонту оборудования интегрированного технического комплекса
безопасности города Когалыма.
Заключен МК № 01873000137240001380001 от 08.07.2024 года, на
оказание услуг связи. Отклонение сложилось  в результате оплаты электрической энергии согласно показанию счетчиков по факту.</t>
      </is>
    </nc>
  </rcc>
  <rcc rId="517" sId="10">
    <oc r="AH13" t="inlineStr">
      <is>
        <t xml:space="preserve">В народной дружине на 01.08.2025 состоит 26 человек.
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is>
    </oc>
    <nc r="AH13" t="inlineStr">
      <is>
        <t xml:space="preserve">В народной дружине на 01.11.2025 состоит 26 человек.
Государственной программой автономного округа «Профилактика правонарушений и обеспечение отдельных прав граждан», муниципальному образованию город Когалым предусмотрена субсидия на создание условий для деятельности народной дружины за счет средств окружного бюджета на 2025 год - 50% из бюджета автономного округа: 147 400,00 (Сто сорок семь тысяч четыреста) рублей 00 копеек, и из бюджета города Когалыма на 2025 год предусмотрена доля софинансирования расходных обязательств в размере 50% -147 400,00 (Сто сорок семь тысяч четыреста) рублей 00 копеек. Итого по мероприятию: 294 800,00 (Двести девяносто четыре тысячи восемьсот) рублей    00 копеек.
В истекший период 2025 года на материальное стимулирование народной дружины города Когалыма потрачено 73 700,00 (Семьдесят три тысячи семьсот) рублей 00 копеек, из них из бюджета автономного округа 36 850,00 (Тридцать шесть тысяч восемьсот пятьдесят) рублей 00 копеек, из бюджета города Когалыма 36 850,00 (Тридцать шесть тысяч восемьсот пятьдесят) рублей 00 копеек. 
</t>
      </is>
    </nc>
  </rcc>
  <rcc rId="518" sId="10" numFmtId="19">
    <oc r="F6">
      <v>45931</v>
    </oc>
    <nc r="F6">
      <v>45962</v>
    </nc>
  </rcc>
  <rcc rId="519" sId="10" numFmtId="19">
    <oc r="E6">
      <v>45931</v>
    </oc>
    <nc r="E6">
      <v>45962</v>
    </nc>
  </rcc>
  <rcv guid="{EA46B61D-849C-4795-A4FF-F8F1740022EB}" action="delete"/>
  <rdn rId="0" localSheetId="1" customView="1" name="Z_EA46B61D_849C_4795_A4FF_F8F1740022EB_.wvu.Rows" hidden="1" oldHidden="1">
    <formula>'1. РО'!$28:$28,'1. РО'!$32:$32,'1. РО'!$52:$52,'1. РО'!$61:$61,'1. РО'!$73:$73,'1. РО'!$77:$77</formula>
    <oldFormula>'1. РО'!$28:$28,'1. РО'!$32:$32,'1. РО'!$52:$52,'1. РО'!$61:$61,'1. РО'!$73:$73,'1. РО'!$77:$77</oldFormula>
  </rdn>
  <rdn rId="0" localSheetId="4" customView="1" name="Z_EA46B61D_849C_4795_A4FF_F8F1740022EB_.wvu.Rows" hidden="1" oldHidden="1">
    <formula>'4. КП'!$23:$23,'4. КП'!$27:$27,'4. КП'!$68:$68,'4. КП'!$75:$75,'4. КП'!$83:$83,'4. КП'!$87:$88,'4. КП'!$91:$91,'4. КП'!$93:$93</formula>
    <oldFormula>'4. КП'!$23:$23,'4. КП'!$27:$27,'4. КП'!$68:$68,'4. КП'!$75:$75,'4. КП'!$83:$83,'4. КП'!$87:$88,'4. КП'!$91:$91,'4. КП'!$93:$93</oldFormula>
  </rdn>
  <rdn rId="0" localSheetId="5" customView="1" name="Z_EA46B61D_849C_4795_A4FF_F8F1740022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EA46B61D_849C_4795_A4FF_F8F1740022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EA46B61D_849C_4795_A4FF_F8F1740022EB_.wvu.Rows" hidden="1" oldHidden="1">
    <formula>'9. РЖКК'!$14:$14,'9. РЖКК'!$28:$28</formula>
    <oldFormula>'9. РЖКК'!$14:$14,'9. РЖКК'!$28:$28</oldFormula>
  </rdn>
  <rdn rId="0" localSheetId="14" customView="1" name="Z_EA46B61D_849C_4795_A4FF_F8F1740022EB_.wvu.Rows" hidden="1" oldHidden="1">
    <formula>'14. РТС'!$14:$15,'14. РТС'!$19:$19,'14. РТС'!$30:$30,'14. РТС'!$33:$33,'14. РТС'!$36:$36,'14. РТС'!$43:$43</formula>
    <oldFormula>'14. РТС'!$14:$15,'14. РТС'!$19:$19,'14. РТС'!$30:$30,'14. РТС'!$33:$33,'14. РТС'!$36:$36,'14. РТС'!$43:$43</oldFormula>
  </rdn>
  <rdn rId="0" localSheetId="17" customView="1" name="Z_EA46B61D_849C_4795_A4FF_F8F1740022EB_.wvu.PrintTitles" hidden="1" oldHidden="1">
    <formula>'17. УМИ'!$4:$7</formula>
  </rdn>
  <rdn rId="0" localSheetId="20" customView="1" name="Z_EA46B61D_849C_4795_A4FF_F8F1740022EB_.wvu.Rows" hidden="1" oldHidden="1">
    <formula>'20. МСП'!$19:$19</formula>
    <oldFormula>'20. МСП'!$19:$19</oldFormula>
  </rdn>
  <rcv guid="{EA46B61D-849C-4795-A4FF-F8F1740022EB}"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8" sId="10">
    <oc r="AH37" t="inlineStr">
      <is>
        <t>Неисполнение по начислениям по оплате труда (оплата досрочно страховых взносов с зарплаты за декабрь 2024г).</t>
      </is>
    </oc>
    <nc r="AH37" t="inlineStr">
      <is>
        <t>Неисполнение по начислениям по оплате труда (оплата досрочно страховых взносов с зарплаты за  2025г).</t>
      </is>
    </nc>
  </rcc>
  <rcv guid="{EA46B61D-849C-4795-A4FF-F8F1740022EB}" action="delete"/>
  <rdn rId="0" localSheetId="1" customView="1" name="Z_EA46B61D_849C_4795_A4FF_F8F1740022EB_.wvu.Rows" hidden="1" oldHidden="1">
    <formula>'1. РО'!$28:$28,'1. РО'!$32:$32,'1. РО'!$52:$52,'1. РО'!$61:$61,'1. РО'!$73:$73,'1. РО'!$77:$77</formula>
    <oldFormula>'1. РО'!$28:$28,'1. РО'!$32:$32,'1. РО'!$52:$52,'1. РО'!$61:$61,'1. РО'!$73:$73,'1. РО'!$77:$77</oldFormula>
  </rdn>
  <rdn rId="0" localSheetId="4" customView="1" name="Z_EA46B61D_849C_4795_A4FF_F8F1740022EB_.wvu.Rows" hidden="1" oldHidden="1">
    <formula>'4. КП'!$23:$23,'4. КП'!$27:$27,'4. КП'!$68:$68,'4. КП'!$75:$75,'4. КП'!$83:$83,'4. КП'!$87:$88,'4. КП'!$91:$91,'4. КП'!$93:$93</formula>
    <oldFormula>'4. КП'!$23:$23,'4. КП'!$27:$27,'4. КП'!$68:$68,'4. КП'!$75:$75,'4. КП'!$83:$83,'4. КП'!$87:$88,'4. КП'!$91:$91,'4. КП'!$93:$93</oldFormula>
  </rdn>
  <rdn rId="0" localSheetId="5" customView="1" name="Z_EA46B61D_849C_4795_A4FF_F8F1740022EB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EA46B61D_849C_4795_A4FF_F8F1740022EB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EA46B61D_849C_4795_A4FF_F8F1740022EB_.wvu.Rows" hidden="1" oldHidden="1">
    <formula>'9. РЖКК'!$14:$14,'9. РЖКК'!$28:$28</formula>
    <oldFormula>'9. РЖКК'!$14:$14,'9. РЖКК'!$28:$28</oldFormula>
  </rdn>
  <rdn rId="0" localSheetId="14" customView="1" name="Z_EA46B61D_849C_4795_A4FF_F8F1740022EB_.wvu.Rows" hidden="1" oldHidden="1">
    <formula>'14. РТС'!$14:$15,'14. РТС'!$19:$19,'14. РТС'!$30:$30,'14. РТС'!$33:$33,'14. РТС'!$36:$36,'14. РТС'!$43:$43</formula>
    <oldFormula>'14. РТС'!$14:$15,'14. РТС'!$19:$19,'14. РТС'!$30:$30,'14. РТС'!$33:$33,'14. РТС'!$36:$36,'14. РТС'!$43:$43</oldFormula>
  </rdn>
  <rdn rId="0" localSheetId="17" customView="1" name="Z_EA46B61D_849C_4795_A4FF_F8F1740022EB_.wvu.PrintTitles" hidden="1" oldHidden="1">
    <formula>'17. УМИ'!$4:$7</formula>
    <oldFormula>'17. УМИ'!$4:$7</oldFormula>
  </rdn>
  <rdn rId="0" localSheetId="20" customView="1" name="Z_EA46B61D_849C_4795_A4FF_F8F1740022EB_.wvu.Rows" hidden="1" oldHidden="1">
    <formula>'20. МСП'!$19:$19</formula>
    <oldFormula>'20. МСП'!$19:$19</oldFormula>
  </rdn>
  <rcv guid="{EA46B61D-849C-4795-A4FF-F8F1740022EB}"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7" sId="10">
    <nc r="AH24" t="inlineStr">
      <is>
        <t xml:space="preserve">Курсы повышения квалификации- СОШ №1-11,87; СОШ №5-11,87; СОШ №6-11,87; СОШ №8-11,87; СОШ №10-11,87;        обучение- СОШ №3-15,0+2,65+7,34+11,87; СОШ № 7- 11,87;                                                                  прочие преобретения-   СОШ №1 -0,16+10,0+14,84; СОШ № 10-1,25+8,74; СОШ № 7- 10,0; СОШ № 8- 7,0+3,0; СОШ № 5- 10,0; СОШ № 6-1,94+8,06                                                                                                          </t>
      </is>
    </nc>
  </rcc>
  <rcc rId="538" sId="10">
    <oc r="AH25" t="inlineStr">
      <is>
        <t xml:space="preserve">Приобретение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t>
      </is>
    </oc>
    <nc r="AH25" t="inlineStr">
      <is>
        <t xml:space="preserve">Приобретение светоотражающих элементов:     СОШ №1-15,0; СОШ №3-15,0, СОШ №5-15,0, СОШ №6-16,0, СОШ №7-16,0, СОШ №8-16,0, СОШ №10-15,0;                                                                       -приобретениеоборудования для организации муниципального этапа Всероссийских соревнований"Безопасное колесо" СОШ №8-113,0;                                                                                - участие в окружном конкурсе "Безопасное колесо" СОШ №6 - 33,3, +20,7+64,0 - установка велопарковки, приобретение велозамков;                                          - приобретение учебного оборудования "Азбука дорог" МАОУ "Золушка" - 31,3 руб.                                                                                                          </t>
      </is>
    </nc>
  </rcc>
  <rcc rId="539" sId="10">
    <nc r="AH28" t="inlineStr">
      <is>
        <t xml:space="preserve"> Обучение. по прогр"Совр. техн.профилактики зависимого повед.подрост.и молод.":                    СОШ №1-21,48; СОШ №3-21,48, СОШ №5-21,48, СОШ №6-21,48, СОШ №7-21,48, СОШ №8-21,48, СОШ №10-21,48;   </t>
      </is>
    </nc>
  </rcc>
  <rcc rId="540" sId="10">
    <nc r="AH32" t="inlineStr">
      <is>
        <t>Школа безопасности СОШ №7-170,0</t>
      </is>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1" sId="10">
    <nc r="AH30" t="inlineStr">
      <is>
        <t>Произведена трансляция видеороликов напарвленных на профилатику наркомании</t>
      </is>
    </nc>
  </rcc>
  <rcc rId="542" sId="10">
    <nc r="AH23" t="inlineStr">
      <is>
        <t>Произведена трансляция видеороликов напарвленных на профилатику мошенничества.</t>
      </is>
    </nc>
  </rcc>
  <rcc rId="543" sId="10">
    <oc r="AH24" t="inlineStr">
      <is>
        <t xml:space="preserve">Курсы повышения квалификации- СОШ №1-11,87; СОШ №5-11,87; СОШ №6-11,87; СОШ №8-11,87; СОШ №10-11,87;        обучение- СОШ №3-15,0+2,65+7,34+11,87; СОШ № 7- 11,87;                                                                  прочие преобретения-   СОШ №1 -0,16+10,0+14,84; СОШ № 10-1,25+8,74; СОШ № 7- 10,0; СОШ № 8- 7,0+3,0; СОШ № 5- 10,0; СОШ № 6-1,94+8,06                                                                                                          </t>
      </is>
    </oc>
    <nc r="AH24" t="inlineStr">
      <is>
        <t xml:space="preserve">                                                                                                     </t>
      </is>
    </nc>
  </rcc>
  <rcc rId="544" sId="10" numFmtId="4">
    <oc r="AC24">
      <v>4.1760000000000002</v>
    </oc>
    <nc r="AC24">
      <v>14.176</v>
    </nc>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5" sId="11" numFmtId="4">
    <oc r="AD25">
      <v>648.72900000000004</v>
    </oc>
    <nc r="AD25">
      <v>707.31899999999996</v>
    </nc>
  </rcc>
  <rfmt sheetId="11" sqref="AD25" start="0" length="2147483647">
    <dxf>
      <font>
        <color auto="1"/>
      </font>
    </dxf>
  </rfmt>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6" sId="11" numFmtId="4">
    <oc r="AC20">
      <v>0</v>
    </oc>
    <nc r="AC20">
      <v>75.180000000000007</v>
    </nc>
  </rcc>
  <rfmt sheetId="11" sqref="AC19:AC20" start="0" length="2147483647">
    <dxf>
      <font>
        <color auto="1"/>
      </font>
    </dxf>
  </rfmt>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S14" start="0" length="2147483647">
    <dxf>
      <font>
        <color auto="1"/>
      </font>
    </dxf>
  </rfmt>
  <rfmt sheetId="11" sqref="U14" start="0" length="2147483647">
    <dxf>
      <font>
        <color auto="1"/>
      </font>
    </dxf>
  </rfmt>
  <rcc rId="547" sId="11" numFmtId="4">
    <oc r="W14">
      <v>0</v>
    </oc>
    <nc r="W14">
      <v>201.18799999999999</v>
    </nc>
  </rcc>
  <rfmt sheetId="11" sqref="W14" start="0" length="2147483647">
    <dxf>
      <font>
        <color auto="1"/>
      </font>
    </dxf>
  </rfmt>
  <rcc rId="548" sId="11" numFmtId="4">
    <oc r="Y14">
      <v>0</v>
    </oc>
    <nc r="Y14">
      <v>208.59800000000001</v>
    </nc>
  </rcc>
  <rfmt sheetId="11" sqref="Y14" start="0" length="2147483647">
    <dxf>
      <font>
        <color auto="1"/>
      </font>
    </dxf>
  </rfmt>
  <rcc rId="549" sId="11" numFmtId="4">
    <oc r="AA14">
      <v>0</v>
    </oc>
    <nc r="AA14">
      <v>321.24700000000001</v>
    </nc>
  </rcc>
  <rfmt sheetId="11" sqref="AA14" start="0" length="2147483647">
    <dxf>
      <font>
        <color auto="1"/>
      </font>
    </dxf>
  </rfmt>
  <rcc rId="550" sId="11" numFmtId="4">
    <oc r="AC14">
      <v>0</v>
    </oc>
    <nc r="AC14">
      <v>1.76</v>
    </nc>
  </rcc>
  <rfmt sheetId="11" sqref="AC14" start="0" length="2147483647">
    <dxf>
      <font>
        <color auto="1"/>
      </font>
    </dxf>
  </rfmt>
  <rfmt sheetId="11" sqref="W14" start="0" length="2147483647">
    <dxf>
      <font>
        <color rgb="FF00B0F0"/>
      </font>
    </dxf>
  </rfmt>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K14" start="0" length="2147483647">
    <dxf>
      <font>
        <color auto="1"/>
      </font>
    </dxf>
  </rfmt>
  <rfmt sheetId="11" sqref="M14:Q14" start="0" length="2147483647">
    <dxf>
      <font>
        <color auto="1"/>
      </font>
    </dxf>
  </rfmt>
  <rfmt sheetId="11" sqref="AE14:AG14" start="0" length="2147483647">
    <dxf>
      <font>
        <color auto="1"/>
      </font>
    </dxf>
  </rfmt>
  <rfmt sheetId="11" sqref="J20:V20" start="0" length="2147483647">
    <dxf>
      <font>
        <color auto="1"/>
      </font>
    </dxf>
  </rfmt>
  <rfmt sheetId="11" sqref="W20:AG20" start="0" length="2147483647">
    <dxf>
      <font>
        <color auto="1"/>
      </font>
    </dxf>
  </rfmt>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9" sId="11" numFmtId="4">
    <oc r="U16">
      <v>96.43</v>
    </oc>
    <nc r="U16">
      <v>72.5</v>
    </nc>
  </rcc>
  <rfmt sheetId="11" sqref="U15:U16" start="0" length="2147483647">
    <dxf>
      <font>
        <color auto="1"/>
      </font>
    </dxf>
  </rfmt>
  <rcc rId="560" sId="11" numFmtId="4">
    <oc r="Y16">
      <v>0</v>
    </oc>
    <nc r="Y16">
      <v>361.666</v>
    </nc>
  </rcc>
  <rfmt sheetId="11" sqref="Y15:Y16" start="0" length="2147483647">
    <dxf>
      <font>
        <color auto="1"/>
      </font>
    </dxf>
  </rfmt>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W15:AG16" start="0" length="2147483647">
    <dxf>
      <font>
        <color auto="1"/>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8">
    <oc r="J10">
      <f>J15+J19+J36</f>
    </oc>
    <nc r="J10">
      <f>J15+J19+J36</f>
    </nc>
  </rcc>
  <rcc rId="57" sId="8">
    <oc r="J9">
      <f>J14+J35</f>
    </oc>
    <nc r="J9">
      <f>J14+J35</f>
    </nc>
  </rcc>
  <rfmt sheetId="8" sqref="B1:B1048576" start="0" length="2147483647">
    <dxf>
      <font>
        <color rgb="FFFF0000"/>
      </font>
    </dxf>
  </rfmt>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K15:T16" start="0" length="2147483647">
    <dxf>
      <font>
        <color auto="1"/>
      </font>
    </dxf>
  </rfmt>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1" sId="11" numFmtId="4">
    <oc r="U16">
      <v>72.5</v>
    </oc>
    <nc r="U16">
      <v>96.430999999999997</v>
    </nc>
  </rcc>
  <rcc rId="562" sId="11" numFmtId="4">
    <oc r="W16">
      <v>0</v>
    </oc>
    <nc r="W16">
      <v>51.311999999999998</v>
    </nc>
  </rcc>
  <rcc rId="563" sId="11" numFmtId="4">
    <oc r="Y16">
      <v>361.666</v>
    </oc>
    <nc r="Y16">
      <v>362.19400000000002</v>
    </nc>
  </rcc>
  <rcc rId="564" sId="11" numFmtId="4">
    <oc r="AA16">
      <v>0</v>
    </oc>
    <nc r="AA16">
      <v>0.54400000000000004</v>
    </nc>
  </rcc>
  <rcc rId="565" sId="11" numFmtId="4">
    <oc r="AC16">
      <v>0</v>
    </oc>
    <nc r="AC16">
      <v>0.53100000000000003</v>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K21:S22" start="0" length="2147483647">
    <dxf>
      <font>
        <color auto="1"/>
      </font>
    </dxf>
  </rfmt>
  <rfmt sheetId="11" sqref="U21:U22" start="0" length="2147483647">
    <dxf>
      <font>
        <color auto="1"/>
      </font>
    </dxf>
  </rfmt>
  <rcc rId="566" sId="11" numFmtId="4">
    <oc r="W22">
      <v>0</v>
    </oc>
    <nc r="W22">
      <v>41.317</v>
    </nc>
  </rcc>
  <rfmt sheetId="11" sqref="W21:W22" start="0" length="2147483647">
    <dxf>
      <font>
        <color auto="1"/>
      </font>
    </dxf>
  </rfmt>
  <rcc rId="567" sId="11" numFmtId="4">
    <oc r="Y22">
      <v>0</v>
    </oc>
    <nc r="Y22">
      <v>31.46</v>
    </nc>
  </rcc>
  <rfmt sheetId="11" sqref="Y21:Y22" start="0" length="2147483647">
    <dxf>
      <font>
        <color auto="1"/>
      </font>
    </dxf>
  </rfmt>
  <rcc rId="568" sId="11" numFmtId="4">
    <oc r="AA22">
      <v>0</v>
    </oc>
    <nc r="AA22">
      <v>31.46</v>
    </nc>
  </rcc>
  <rfmt sheetId="11" sqref="AA21:AA22" start="0" length="2147483647">
    <dxf>
      <font>
        <color auto="1"/>
      </font>
    </dxf>
  </rfmt>
  <rcc rId="569" sId="11" numFmtId="4">
    <oc r="AC22">
      <v>0</v>
    </oc>
    <nc r="AC22">
      <v>31.46</v>
    </nc>
  </rcc>
  <rfmt sheetId="11" sqref="AC21:AC22" start="0" length="2147483647">
    <dxf>
      <font>
        <color auto="1"/>
      </font>
    </dxf>
  </rfmt>
  <rfmt sheetId="11" sqref="AE21:AG22" start="0" length="2147483647">
    <dxf>
      <font>
        <color auto="1"/>
      </font>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K25" start="0" length="2147483647">
    <dxf>
      <font>
        <color auto="1"/>
      </font>
    </dxf>
  </rfmt>
  <rcc rId="570" sId="11" numFmtId="4">
    <oc r="K25">
      <v>1138.2</v>
    </oc>
    <nc r="K25">
      <v>717.13400000000001</v>
    </nc>
  </rcc>
  <rcc rId="571" sId="11" numFmtId="4">
    <oc r="M25">
      <v>750</v>
    </oc>
    <nc r="M25">
      <v>1036.6859999999999</v>
    </nc>
  </rcc>
  <rfmt sheetId="11" sqref="M25" start="0" length="2147483647">
    <dxf>
      <font>
        <color auto="1"/>
      </font>
    </dxf>
  </rfmt>
  <rcc rId="572" sId="11" numFmtId="4">
    <oc r="O25">
      <v>603</v>
    </oc>
    <nc r="O25">
      <v>820.24300000000005</v>
    </nc>
  </rcc>
  <rfmt sheetId="11" sqref="O25" start="0" length="2147483647">
    <dxf>
      <font>
        <color auto="1"/>
      </font>
    </dxf>
  </rfmt>
  <rcc rId="573" sId="11" numFmtId="4">
    <oc r="Q25">
      <v>812.59</v>
    </oc>
    <nc r="Q25">
      <v>729.72299999999996</v>
    </nc>
  </rcc>
  <rfmt sheetId="11" sqref="Q25" start="0" length="2147483647">
    <dxf>
      <font>
        <color auto="1"/>
      </font>
    </dxf>
  </rfmt>
  <rcc rId="574" sId="11" numFmtId="4">
    <oc r="S25">
      <v>584.92999999999995</v>
    </oc>
    <nc r="S25">
      <v>584.93399999999997</v>
    </nc>
  </rcc>
  <rfmt sheetId="11" sqref="S25" start="0" length="2147483647">
    <dxf>
      <font>
        <color auto="1"/>
      </font>
    </dxf>
  </rfmt>
  <rcc rId="575" sId="11" numFmtId="4">
    <oc r="U25">
      <v>926.86</v>
    </oc>
    <nc r="U25">
      <v>926.85900000000004</v>
    </nc>
  </rcc>
  <rfmt sheetId="11" sqref="U25" start="0" length="2147483647">
    <dxf>
      <font>
        <color auto="1"/>
      </font>
    </dxf>
  </rfmt>
  <rcc rId="576" sId="11" numFmtId="4">
    <oc r="W25">
      <v>0</v>
    </oc>
    <nc r="W25">
      <v>727.06</v>
    </nc>
  </rcc>
  <rfmt sheetId="11" sqref="W25" start="0" length="2147483647">
    <dxf>
      <font>
        <color auto="1"/>
      </font>
    </dxf>
  </rfmt>
  <rcc rId="577" sId="11" numFmtId="4">
    <oc r="Y25">
      <v>0</v>
    </oc>
    <nc r="Y25">
      <v>516.38</v>
    </nc>
  </rcc>
  <rfmt sheetId="11" sqref="Y25" start="0" length="2147483647">
    <dxf>
      <font>
        <color auto="1"/>
      </font>
    </dxf>
  </rfmt>
  <rcc rId="578" sId="11" numFmtId="4">
    <oc r="AA25">
      <v>0</v>
    </oc>
    <nc r="AA25">
      <v>812.64099999999996</v>
    </nc>
  </rcc>
  <rfmt sheetId="11" sqref="AA25" start="0" length="2147483647">
    <dxf>
      <font>
        <color auto="1"/>
      </font>
    </dxf>
  </rfmt>
  <rcc rId="579" sId="11" numFmtId="4">
    <oc r="AC25">
      <v>0</v>
    </oc>
    <nc r="AC25">
      <v>613.47199999999998</v>
    </nc>
  </rcc>
  <rfmt sheetId="11" sqref="AC25" start="0" length="2147483647">
    <dxf>
      <font>
        <color auto="1"/>
      </font>
    </dxf>
  </rfmt>
  <rfmt sheetId="11" sqref="AD25:AG25" start="0" length="2147483647">
    <dxf>
      <font>
        <color auto="1"/>
      </font>
    </dxf>
  </rfmt>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0" sId="11" numFmtId="4">
    <oc r="W14">
      <v>201.18799999999999</v>
    </oc>
    <nc r="W14">
      <v>219.43100000000001</v>
    </nc>
  </rcc>
  <rfmt sheetId="11" sqref="W14" start="0" length="2147483647">
    <dxf>
      <font>
        <color auto="1"/>
      </font>
    </dxf>
  </rfmt>
  <rfmt sheetId="11" sqref="K19:V19" start="0" length="2147483647">
    <dxf>
      <font>
        <color auto="1"/>
      </font>
    </dxf>
  </rfmt>
  <rfmt sheetId="11" sqref="W19:AG19" start="0" length="2147483647">
    <dxf>
      <font>
        <color auto="1"/>
      </font>
    </dxf>
  </rfmt>
  <rfmt sheetId="11" sqref="L17" start="0" length="2147483647">
    <dxf>
      <font>
        <color auto="1"/>
      </font>
    </dxf>
  </rfmt>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1" sId="11" numFmtId="4">
    <oc r="K27">
      <v>1158.2</v>
    </oc>
    <nc r="K27">
      <v>1158.204</v>
    </nc>
  </rcc>
  <rfmt sheetId="11" sqref="K27" start="0" length="2147483647">
    <dxf>
      <font>
        <color auto="1"/>
      </font>
    </dxf>
  </rfmt>
  <rcc rId="582" sId="11" numFmtId="4">
    <oc r="M27">
      <v>3406.56</v>
    </oc>
    <nc r="M27">
      <v>3406.5630000000001</v>
    </nc>
  </rcc>
  <rfmt sheetId="11" sqref="M27" start="0" length="2147483647">
    <dxf>
      <font>
        <color auto="1"/>
      </font>
    </dxf>
  </rfmt>
  <rcc rId="583" sId="11" numFmtId="4">
    <oc r="O27">
      <v>2765.64</v>
    </oc>
    <nc r="O27">
      <v>2765.6439999999998</v>
    </nc>
  </rcc>
  <rfmt sheetId="11" sqref="O27" start="0" length="2147483647">
    <dxf>
      <font>
        <color auto="1"/>
      </font>
    </dxf>
  </rfmt>
  <rcc rId="584" sId="11" numFmtId="4">
    <oc r="Q27">
      <v>3205.03</v>
    </oc>
    <nc r="Q27">
      <v>3205.0340000000001</v>
    </nc>
  </rcc>
  <rfmt sheetId="11" sqref="Q27" start="0" length="2147483647">
    <dxf>
      <font>
        <color auto="1"/>
      </font>
    </dxf>
  </rfmt>
  <rcc rId="585" sId="11" numFmtId="4">
    <oc r="S27">
      <v>3170.47</v>
    </oc>
    <nc r="S27">
      <v>3170.451</v>
    </nc>
  </rcc>
  <rfmt sheetId="11" sqref="S27" start="0" length="2147483647">
    <dxf>
      <font>
        <color auto="1"/>
      </font>
    </dxf>
  </rfmt>
  <rcc rId="586" sId="11" numFmtId="4">
    <oc r="U27">
      <v>3412.51</v>
    </oc>
    <nc r="U27">
      <v>3412.5129999999999</v>
    </nc>
  </rcc>
  <rfmt sheetId="11" sqref="U27" start="0" length="2147483647">
    <dxf>
      <font>
        <color auto="1"/>
      </font>
    </dxf>
  </rfmt>
  <rcc rId="587" sId="11" numFmtId="4">
    <oc r="W27">
      <v>0</v>
    </oc>
    <nc r="W27">
      <v>3283.4949999999999</v>
    </nc>
  </rcc>
  <rfmt sheetId="11" sqref="W27" start="0" length="2147483647">
    <dxf>
      <font>
        <color auto="1"/>
      </font>
    </dxf>
  </rfmt>
  <rcc rId="588" sId="11" numFmtId="4">
    <oc r="Y27">
      <v>0</v>
    </oc>
    <nc r="Y27">
      <v>2835.944</v>
    </nc>
  </rcc>
  <rfmt sheetId="11" sqref="Y27" start="0" length="2147483647">
    <dxf>
      <font>
        <color auto="1"/>
      </font>
    </dxf>
  </rfmt>
  <rcc rId="589" sId="11" numFmtId="4">
    <oc r="AA27">
      <v>0</v>
    </oc>
    <nc r="AA27">
      <v>2731.6019999999999</v>
    </nc>
  </rcc>
  <rfmt sheetId="11" sqref="AA27" start="0" length="2147483647">
    <dxf>
      <font>
        <color auto="1"/>
      </font>
    </dxf>
  </rfmt>
  <rcc rId="590" sId="11" numFmtId="4">
    <oc r="AC27">
      <v>0</v>
    </oc>
    <nc r="AC27">
      <v>2707.0169999999998</v>
    </nc>
  </rcc>
  <rfmt sheetId="11" sqref="AC27" start="0" length="2147483647">
    <dxf>
      <font>
        <color auto="1"/>
      </font>
    </dxf>
  </rfmt>
  <rfmt sheetId="11" sqref="AE27:AG27" start="0" length="2147483647">
    <dxf>
      <font>
        <color auto="1"/>
      </font>
    </dxf>
  </rfmt>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1" sId="11" numFmtId="4">
    <oc r="K18">
      <v>232.48</v>
    </oc>
    <nc r="K18">
      <v>232.476</v>
    </nc>
  </rcc>
  <rfmt sheetId="11" sqref="K17:K18" start="0" length="2147483647">
    <dxf>
      <font>
        <color auto="1"/>
      </font>
    </dxf>
  </rfmt>
  <rcc rId="592" sId="11" numFmtId="4">
    <oc r="M18">
      <v>225.9</v>
    </oc>
    <nc r="M18">
      <v>225.904</v>
    </nc>
  </rcc>
  <rfmt sheetId="11" sqref="M17:M18" start="0" length="2147483647">
    <dxf>
      <font>
        <color auto="1"/>
      </font>
    </dxf>
  </rfmt>
  <rcc rId="593" sId="11" numFmtId="4">
    <oc r="O18">
      <v>225.9</v>
    </oc>
    <nc r="O18">
      <v>225.904</v>
    </nc>
  </rcc>
  <rfmt sheetId="11" sqref="O17:O18" start="0" length="2147483647">
    <dxf>
      <font>
        <color auto="1"/>
      </font>
    </dxf>
  </rfmt>
  <rcc rId="594" sId="11" numFmtId="4">
    <oc r="Q18">
      <v>225.9</v>
    </oc>
    <nc r="Q18">
      <v>225.904</v>
    </nc>
  </rcc>
  <rfmt sheetId="11" sqref="Q17:Q18" start="0" length="2147483647">
    <dxf>
      <font>
        <color auto="1"/>
      </font>
    </dxf>
  </rfmt>
  <rcc rId="595" sId="11" numFmtId="4">
    <oc r="S18">
      <v>225.9</v>
    </oc>
    <nc r="S18">
      <v>225.904</v>
    </nc>
  </rcc>
  <rfmt sheetId="11" sqref="S17:S18" start="0" length="2147483647">
    <dxf>
      <font>
        <color auto="1"/>
      </font>
    </dxf>
  </rfmt>
  <rcc rId="596" sId="11" numFmtId="4">
    <oc r="U18">
      <v>225.9</v>
    </oc>
    <nc r="U18">
      <v>225.904</v>
    </nc>
  </rcc>
  <rfmt sheetId="11" sqref="U17:U18" start="0" length="2147483647">
    <dxf>
      <font>
        <color auto="1"/>
      </font>
    </dxf>
  </rfmt>
  <rcc rId="597" sId="11" numFmtId="4">
    <oc r="W18">
      <v>0</v>
    </oc>
    <nc r="W18">
      <v>225.904</v>
    </nc>
  </rcc>
  <rfmt sheetId="11" sqref="W17:W18" start="0" length="2147483647">
    <dxf>
      <font>
        <color auto="1"/>
      </font>
    </dxf>
  </rfmt>
  <rcc rId="598" sId="11" numFmtId="4">
    <oc r="Y18">
      <v>0</v>
    </oc>
    <nc r="Y18">
      <v>225.904</v>
    </nc>
  </rcc>
  <rfmt sheetId="11" sqref="Y17:Y18" start="0" length="2147483647">
    <dxf>
      <font>
        <color auto="1"/>
      </font>
    </dxf>
  </rfmt>
  <rcc rId="599" sId="11" numFmtId="4">
    <oc r="AA18">
      <v>0</v>
    </oc>
    <nc r="AA18">
      <v>225.904</v>
    </nc>
  </rcc>
  <rfmt sheetId="11" sqref="AA17:AA18" start="0" length="2147483647">
    <dxf>
      <font>
        <color auto="1"/>
      </font>
    </dxf>
  </rfmt>
  <rcc rId="600" sId="11" numFmtId="4">
    <oc r="AC18">
      <v>0</v>
    </oc>
    <nc r="AC18">
      <v>225.904</v>
    </nc>
  </rcc>
  <rfmt sheetId="11" sqref="AC17:AC18" start="0" length="2147483647">
    <dxf>
      <font>
        <color auto="1"/>
      </font>
    </dxf>
  </rfmt>
  <rfmt sheetId="11" sqref="AE17:AG18" start="0" length="2147483647">
    <dxf>
      <font>
        <color auto="1"/>
      </font>
    </dxf>
  </rfmt>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AH25" start="0" length="0">
    <dxf>
      <font>
        <sz val="12"/>
        <color auto="1"/>
        <name val="Times New Roman"/>
        <scheme val="none"/>
      </font>
      <fill>
        <patternFill patternType="none">
          <bgColor indexed="65"/>
        </patternFill>
      </fill>
      <alignment horizontal="left" vertical="top" readingOrder="0"/>
      <border outline="0">
        <bottom/>
      </border>
    </dxf>
  </rfmt>
  <rfmt sheetId="10" sqref="AH26" start="0" length="0">
    <dxf>
      <alignment horizontal="left" vertical="top" readingOrder="0"/>
      <border outline="0">
        <top/>
      </border>
    </dxf>
  </rfmt>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1" sId="2" numFmtId="19">
    <oc r="E6">
      <v>45931</v>
    </oc>
    <nc r="E6">
      <v>45962</v>
    </nc>
  </rcc>
  <rcc rId="602" sId="2" numFmtId="19">
    <oc r="F6">
      <v>45931</v>
    </oc>
    <nc r="F6">
      <v>45962</v>
    </nc>
  </rcc>
  <rcc rId="603" sId="2" numFmtId="19">
    <oc r="G6">
      <v>45931</v>
    </oc>
    <nc r="G6">
      <v>45962</v>
    </nc>
  </rcc>
  <rcc rId="604" sId="2">
    <oc r="E19">
      <f>J19+L19+N19+P19+R19+T19+V19+X19+Z19</f>
    </oc>
    <nc r="E19">
      <f>J19+L19+N19+P19+R19+T19+V19+X19+Z19+AB19</f>
    </nc>
  </rcc>
  <rcc rId="605" sId="2">
    <oc r="E18">
      <f>J18+L18+N18+P18+R18+T18+V18+X18+Z18</f>
    </oc>
    <nc r="E18">
      <f>J18+L18+N18+P18+R18+T18+V18+X18+Z18+AB18</f>
    </nc>
  </rcc>
  <rcc rId="606" sId="2">
    <oc r="E14">
      <f>J14+L14+N14+P14+R14+T14+V14+X14+Z14</f>
    </oc>
    <nc r="E14">
      <f>J14+L14+N14+P14+R14+T14+V14+X14+Z14+AB14</f>
    </nc>
  </rcc>
  <rcc rId="607" sId="2">
    <oc r="E15">
      <f>J15+L15+N15+P15+R15+T15+V15+X15+Z15</f>
    </oc>
    <nc r="E15">
      <f>J15+L15+N15+P15+R15+T15+V15+X15+Z15+AB15</f>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F9">
    <dxf>
      <fill>
        <patternFill patternType="solid">
          <bgColor rgb="FFFFFF00"/>
        </patternFill>
      </fill>
    </dxf>
  </rfmt>
  <rcc rId="608" sId="11">
    <oc r="K9">
      <f>K12+K25+K27</f>
    </oc>
    <nc r="K9">
      <f>K12+K25+K27</f>
    </nc>
  </rcc>
  <rcc rId="609" sId="11">
    <oc r="H12">
      <f>IFERROR(G12/D12*100,0)</f>
    </oc>
    <nc r="H12">
      <f>IFERROR(G12/D12*100,0)</f>
    </nc>
  </rcc>
  <rcc rId="610" sId="11">
    <oc r="I12">
      <f>IFERROR(G12/E12*100,0)</f>
    </oc>
    <nc r="I12">
      <f>IFERROR(G12/E12*100,0)</f>
    </nc>
  </rcc>
  <rcc rId="611" sId="11">
    <oc r="G13">
      <f>G14</f>
    </oc>
    <nc r="G13">
      <f>G14</f>
    </nc>
  </rcc>
  <rcc rId="612" sId="11">
    <oc r="K12">
      <f>K14+K16+K18+K20+K22</f>
    </oc>
    <nc r="K12">
      <f>K14+K16+K18+K20+K22</f>
    </nc>
  </rcc>
  <rcc rId="613" sId="11">
    <oc r="F13">
      <f>F14</f>
    </oc>
    <nc r="F13">
      <f>F14</f>
    </nc>
  </rcc>
  <rfmt sheetId="11" sqref="B13:B22">
    <dxf>
      <fill>
        <patternFill patternType="solid">
          <bgColor rgb="FFFFFF00"/>
        </patternFill>
      </fill>
    </dxf>
  </rfmt>
  <rcc rId="614" sId="11">
    <oc r="G9">
      <f>G25</f>
    </oc>
    <nc r="G9">
      <f>K9+M9+O9+Q9+S9+W9+U9+Y9+AA9+AC9++AE9+AG9</f>
    </nc>
  </rcc>
  <rfmt sheetId="11" sqref="F9">
    <dxf>
      <fill>
        <patternFill patternType="none">
          <bgColor auto="1"/>
        </patternFill>
      </fill>
    </dxf>
  </rfmt>
  <rcc rId="615" sId="11">
    <oc r="E9">
      <f>E25</f>
    </oc>
    <nc r="E9">
      <f>J9+L9+N9+P9+R9+T9+V9+X9+Z9+AB9</f>
    </nc>
  </rcc>
  <rfmt sheetId="11" sqref="E9">
    <dxf>
      <fill>
        <patternFill patternType="solid">
          <bgColor rgb="FF92D050"/>
        </patternFill>
      </fill>
    </dxf>
  </rfmt>
  <rfmt sheetId="11" sqref="D9">
    <dxf>
      <fill>
        <patternFill patternType="solid">
          <bgColor rgb="FF92D050"/>
        </patternFill>
      </fill>
    </dxf>
  </rfmt>
  <rcc rId="616" sId="11">
    <oc r="F9">
      <f>F25</f>
    </oc>
    <nc r="F9">
      <f>K9+M9+O9+Q9+S9+U9+W9+Y9+AA9+AC9</f>
    </nc>
  </rcc>
  <rfmt sheetId="11" sqref="F9">
    <dxf>
      <fill>
        <patternFill patternType="solid">
          <bgColor rgb="FF92D050"/>
        </patternFill>
      </fill>
    </dxf>
  </rfmt>
  <rcc rId="617" sId="11">
    <oc r="P12">
      <f>P14+P16+P18+P20+P22</f>
    </oc>
    <nc r="P12">
      <f>P14+P16+P18+P20+P22</f>
    </nc>
  </rcc>
  <rfmt sheetId="11" sqref="AI8" start="0" length="0">
    <dxf>
      <numFmt numFmtId="166" formatCode="#,##0.00_ ;[Red]\-#,##0.00\ "/>
    </dxf>
  </rfmt>
  <rfmt sheetId="11" sqref="AI9" start="0" length="0">
    <dxf>
      <font>
        <b/>
        <color auto="1"/>
      </font>
      <numFmt numFmtId="166" formatCode="#,##0.00_ ;[Red]\-#,##0.00\ "/>
    </dxf>
  </rfmt>
  <rfmt sheetId="11" sqref="AI10" start="0" length="0">
    <dxf>
      <font>
        <b/>
        <color auto="1"/>
      </font>
      <numFmt numFmtId="166" formatCode="#,##0.00_ ;[Red]\-#,##0.00\ "/>
    </dxf>
  </rfmt>
  <rfmt sheetId="11" sqref="AI13" start="0" length="0">
    <dxf>
      <font>
        <b/>
        <sz val="12"/>
        <color auto="1"/>
        <name val="Times New Roman"/>
        <scheme val="minor"/>
      </font>
      <alignment vertical="center" readingOrder="0"/>
    </dxf>
  </rfmt>
  <rfmt sheetId="11" sqref="AI14" start="0" length="0">
    <dxf>
      <font>
        <b/>
        <sz val="12"/>
        <color auto="1"/>
        <name val="Times New Roman"/>
        <scheme val="minor"/>
      </font>
      <alignment vertical="center" readingOrder="0"/>
    </dxf>
  </rfmt>
  <rfmt sheetId="11" sqref="AI15" start="0" length="0">
    <dxf>
      <font>
        <b/>
        <sz val="12"/>
        <color auto="1"/>
        <name val="Times New Roman"/>
        <scheme val="minor"/>
      </font>
      <alignment vertical="center" readingOrder="0"/>
    </dxf>
  </rfmt>
  <rfmt sheetId="11" sqref="AI16" start="0" length="0">
    <dxf>
      <font>
        <b/>
        <sz val="12"/>
        <color auto="1"/>
        <name val="Times New Roman"/>
        <scheme val="minor"/>
      </font>
      <alignment vertical="center" readingOrder="0"/>
    </dxf>
  </rfmt>
  <rfmt sheetId="11" sqref="AI17" start="0" length="0">
    <dxf>
      <font>
        <b/>
        <sz val="12"/>
        <color auto="1"/>
        <name val="Times New Roman"/>
        <scheme val="minor"/>
      </font>
      <alignment vertical="center" readingOrder="0"/>
    </dxf>
  </rfmt>
  <rfmt sheetId="11" sqref="AI18" start="0" length="0">
    <dxf>
      <font>
        <b/>
        <sz val="12"/>
        <color auto="1"/>
        <name val="Times New Roman"/>
        <scheme val="minor"/>
      </font>
      <alignment vertical="center" readingOrder="0"/>
    </dxf>
  </rfmt>
  <rfmt sheetId="11" sqref="AI19" start="0" length="0">
    <dxf>
      <font>
        <b/>
        <sz val="12"/>
        <color auto="1"/>
        <name val="Times New Roman"/>
        <scheme val="minor"/>
      </font>
      <alignment vertical="center" readingOrder="0"/>
    </dxf>
  </rfmt>
  <rfmt sheetId="11" sqref="AI20" start="0" length="0">
    <dxf>
      <font>
        <b/>
        <sz val="12"/>
        <color auto="1"/>
        <name val="Times New Roman"/>
        <scheme val="minor"/>
      </font>
      <alignment vertical="center" readingOrder="0"/>
    </dxf>
  </rfmt>
  <rfmt sheetId="11" sqref="AI21" start="0" length="0">
    <dxf>
      <font>
        <b/>
        <sz val="12"/>
        <color auto="1"/>
        <name val="Times New Roman"/>
        <scheme val="minor"/>
      </font>
      <alignment vertical="center" readingOrder="0"/>
    </dxf>
  </rfmt>
  <rfmt sheetId="11" sqref="AI22" start="0" length="0">
    <dxf>
      <font>
        <b/>
        <sz val="12"/>
        <color auto="1"/>
        <name val="Times New Roman"/>
        <scheme val="minor"/>
      </font>
      <alignment vertical="center" readingOrder="0"/>
    </dxf>
  </rfmt>
  <rfmt sheetId="11" sqref="AI23" start="0" length="0">
    <dxf>
      <font>
        <b/>
        <color auto="1"/>
      </font>
      <numFmt numFmtId="166" formatCode="#,##0.00_ ;[Red]\-#,##0.00\ "/>
    </dxf>
  </rfmt>
  <rfmt sheetId="11" sqref="AI24" start="0" length="0">
    <dxf>
      <font>
        <b/>
        <sz val="16"/>
        <color auto="1"/>
      </font>
    </dxf>
  </rfmt>
  <rfmt sheetId="11" sqref="AI25" start="0" length="0">
    <dxf>
      <font>
        <b/>
        <sz val="16"/>
        <color auto="1"/>
      </font>
    </dxf>
  </rfmt>
  <rfmt sheetId="11" sqref="AI26" start="0" length="0">
    <dxf>
      <font>
        <b/>
        <sz val="16"/>
        <color auto="1"/>
      </font>
    </dxf>
  </rfmt>
  <rfmt sheetId="11" sqref="AI27" start="0" length="0">
    <dxf>
      <font>
        <b/>
        <sz val="16"/>
        <color auto="1"/>
      </font>
    </dxf>
  </rfmt>
  <rcc rId="618" sId="11">
    <nc r="AI8">
      <f>E8-G8</f>
    </nc>
  </rcc>
  <rcc rId="619" sId="11">
    <nc r="AI9">
      <f>E9-G9</f>
    </nc>
  </rcc>
  <rcc rId="620" sId="11">
    <nc r="AI11">
      <f>E11-G11</f>
    </nc>
  </rcc>
  <rcc rId="621" sId="11">
    <nc r="AI12">
      <f>E12-G12</f>
    </nc>
  </rcc>
  <rcc rId="622" sId="11">
    <nc r="AI13">
      <f>E13-G13</f>
    </nc>
  </rcc>
  <rcc rId="623" sId="11">
    <nc r="AI14">
      <f>E14-G14</f>
    </nc>
  </rcc>
  <rcc rId="624" sId="11">
    <nc r="AI15">
      <f>E15-G15</f>
    </nc>
  </rcc>
  <rcc rId="625" sId="11">
    <nc r="AI16">
      <f>E16-G16</f>
    </nc>
  </rcc>
  <rcc rId="626" sId="11">
    <nc r="AI17">
      <f>E17-G17</f>
    </nc>
  </rcc>
  <rcc rId="627" sId="11">
    <nc r="AI18">
      <f>E18-G18</f>
    </nc>
  </rcc>
  <rcc rId="628" sId="11">
    <nc r="AI19">
      <f>E19-G19</f>
    </nc>
  </rcc>
  <rcc rId="629" sId="11">
    <nc r="AI20">
      <f>E20-G20</f>
    </nc>
  </rcc>
  <rcc rId="630" sId="11">
    <nc r="AI21">
      <f>E21-G21</f>
    </nc>
  </rcc>
  <rcc rId="631" sId="11">
    <nc r="AI22">
      <f>E22-G22</f>
    </nc>
  </rcc>
  <rcc rId="632" sId="11">
    <nc r="AI24">
      <f>E24-G24</f>
    </nc>
  </rcc>
  <rcc rId="633" sId="11">
    <nc r="AI25">
      <f>E25-G25</f>
    </nc>
  </rcc>
  <rcc rId="634" sId="11">
    <nc r="AI26">
      <f>E26-G26</f>
    </nc>
  </rcc>
  <rcc rId="635" sId="11">
    <nc r="AI27">
      <f>E27-G27</f>
    </nc>
  </rcc>
  <rcv guid="{2A5A11D4-90C6-4A3E-8165-7D7BD634B22F}" action="delete"/>
  <rdn rId="0" localSheetId="1" customView="1" name="Z_2A5A11D4_90C6_4A3E_8165_7D7BD634B22F_.wvu.Rows" hidden="1" oldHidden="1">
    <formula>'1. РО'!$28:$28,'1. РО'!$32:$32,'1. РО'!$52:$52,'1. РО'!$61:$61,'1. РО'!$73:$73,'1. РО'!$77:$77</formula>
    <oldFormula>'1. РО'!$28:$28,'1. РО'!$32:$32,'1. РО'!$52:$52,'1. РО'!$61:$61,'1. РО'!$73:$73,'1. РО'!$77:$77</oldFormula>
  </rdn>
  <rdn rId="0" localSheetId="4" customView="1" name="Z_2A5A11D4_90C6_4A3E_8165_7D7BD634B22F_.wvu.Rows" hidden="1" oldHidden="1">
    <formula>'4. КП'!$23:$23,'4. КП'!$27:$27,'4. КП'!$68:$68,'4. КП'!$75:$75,'4. КП'!$83:$83,'4. КП'!$87:$88,'4. КП'!$91:$91,'4. КП'!$93:$93</formula>
    <oldFormula>'4. КП'!$23:$23,'4. КП'!$27:$27,'4. КП'!$68:$68,'4. КП'!$75:$75,'4. КП'!$83:$83,'4. КП'!$87:$88,'4. КП'!$91:$91,'4. КП'!$93:$93</oldFormula>
  </rdn>
  <rdn rId="0" localSheetId="5" customView="1" name="Z_2A5A11D4_90C6_4A3E_8165_7D7BD634B22F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A5A11D4_90C6_4A3E_8165_7D7BD634B22F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A5A11D4_90C6_4A3E_8165_7D7BD634B22F_.wvu.Rows" hidden="1" oldHidden="1">
    <formula>'9. РЖКК'!$14:$14,'9. РЖКК'!$28:$28</formula>
    <oldFormula>'9. РЖКК'!$14:$14,'9. РЖКК'!$28:$28</oldFormula>
  </rdn>
  <rdn rId="0" localSheetId="14" customView="1" name="Z_2A5A11D4_90C6_4A3E_8165_7D7BD634B22F_.wvu.Rows" hidden="1" oldHidden="1">
    <formula>'14. РТС'!$14:$15,'14. РТС'!$19:$19,'14. РТС'!$30:$30,'14. РТС'!$33:$33,'14. РТС'!$36:$36,'14. РТС'!$43:$43</formula>
    <oldFormula>'14. РТС'!$14:$15,'14. РТС'!$19:$19,'14. РТС'!$30:$30,'14. РТС'!$33:$33,'14. РТС'!$36:$36,'14. РТС'!$43:$43</oldFormula>
  </rdn>
  <rdn rId="0" localSheetId="17" customView="1" name="Z_2A5A11D4_90C6_4A3E_8165_7D7BD634B22F_.wvu.PrintTitles" hidden="1" oldHidden="1">
    <formula>'17. УМИ'!$4:$7</formula>
  </rdn>
  <rdn rId="0" localSheetId="20" customView="1" name="Z_2A5A11D4_90C6_4A3E_8165_7D7BD634B22F_.wvu.Rows" hidden="1" oldHidden="1">
    <formula>'20. МСП'!$19:$19</formula>
    <oldFormula>'20. МСП'!$19:$19</oldFormula>
  </rdn>
  <rcv guid="{2A5A11D4-90C6-4A3E-8165-7D7BD634B22F}"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B27:B29" start="0" length="2147483647">
    <dxf>
      <font>
        <color auto="1"/>
      </font>
    </dxf>
  </rfmt>
  <rfmt sheetId="8" sqref="B18:B20" start="0" length="2147483647">
    <dxf>
      <font>
        <color auto="1"/>
      </font>
    </dxf>
  </rfmt>
  <rfmt sheetId="8" sqref="B4:B6 B8:B11 B13:B16" start="0" length="2147483647">
    <dxf>
      <font>
        <color auto="1"/>
      </font>
    </dxf>
  </rfmt>
  <rfmt sheetId="8" sqref="B34:B37" start="0" length="2147483647">
    <dxf>
      <font>
        <color auto="1"/>
      </font>
    </dxf>
  </rfmt>
  <rfmt sheetId="8" sqref="B49:B50 B55:B56" start="0" length="2147483647">
    <dxf>
      <font>
        <color auto="1"/>
      </font>
    </dxf>
  </rfmt>
  <rfmt sheetId="8" sqref="B57:B58" start="0" length="2147483647">
    <dxf>
      <font>
        <color auto="1"/>
      </font>
    </dxf>
  </rfmt>
  <rcc rId="58" sId="8" numFmtId="4">
    <oc r="Y58">
      <v>0</v>
    </oc>
    <nc r="Y58">
      <v>6349.42</v>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1" sqref="AH17" start="0" length="0">
    <dxf>
      <font>
        <sz val="12"/>
        <color auto="1"/>
        <name val="Times New Roman"/>
        <scheme val="none"/>
      </font>
      <fill>
        <patternFill patternType="solid">
          <bgColor theme="0"/>
        </patternFill>
      </fill>
    </dxf>
  </rfmt>
  <rfmt sheetId="2" s="1" sqref="AH18" start="0" length="0">
    <dxf>
      <alignment horizontal="left" readingOrder="0"/>
    </dxf>
  </rfmt>
  <rfmt sheetId="2" s="1" sqref="AH19" start="0" length="0">
    <dxf>
      <alignment horizontal="left" readingOrder="0"/>
    </dxf>
  </rfmt>
  <rfmt sheetId="2" sqref="AH17" start="0" length="2147483647">
    <dxf>
      <font>
        <sz val="10"/>
      </font>
    </dxf>
  </rfmt>
  <rcc rId="644" sId="2">
    <oc r="AH17" t="inlineStr">
      <is>
        <t xml:space="preserve"> 
    1. Муниципальный контракт №0187300013724000262 от 11.11.2024 на оказание услуг по обращению с животными без владельцев на территории города Когалыма
- цена контракта 9 536,7тыс. руб.
- подрядчик - ИП СКЛЯР Л.П.
- ведется оказание услуг                                                                                                                                                      2.1. Муниципальный контракт № 0187300013725000025 от 26.03.2025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 цена контракта - 850 850,85 рублей;
- срок оказания услуг по 18.09.2025;                                                          
- исполнитель услуг - Индивидуальный предприниматель Карпов Владислав Геннадьевич.                                           -услуги оказаны и оплачены в полном объеме.
2.2. В рамках субвенции предусмотренно администрирование (заработная плата/страховые взносы) в размере 26 725,50 рублей, из них кассовые расходы на 01.10.2025 составили 14 159,75 рублей.</t>
      </is>
    </oc>
    <nc r="AH17" t="inlineStr">
      <is>
        <t>1. Муниципальный контракт №0187300013724000262 от 11.11.2024 на оказание услуг по обращению с животными без владельцев на территории города Когалыма
- цена контракта 9 536,7тыс. руб.
- подрядчик - ИП СКЛЯР Л.П.
- ведется оказание услуг                                                                                                                                                    2.1. Муниципальный контракт № 0187300013725000025 от 26.03.2025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 цена контракта - 850 850,85 рублей;
- срок оказания услуг по 18.09.2025;                                                          
- исполнитель услуг - Индивидуальный предприниматель Карпов Владислав Геннадьевич.                                            -услуги оказаны и оплачены в полном объеме.
2.2. В рамках субвенции предусмотренно администрирование (заработная плата/страховые взносы) в размере 26 725,50 рублей, из них кассовые расходы на 01.11.2025 составили 14 429,70 рублей.</t>
      </is>
    </nc>
  </rcc>
  <rfmt sheetId="2" s="1" sqref="AH13" start="0" length="0">
    <dxf>
      <font>
        <sz val="12"/>
        <color auto="1"/>
        <name val="Times New Roman"/>
        <scheme val="none"/>
      </font>
      <numFmt numFmtId="165" formatCode="#,##0_ ;[Red]\-#,##0\ "/>
      <fill>
        <patternFill patternType="solid">
          <bgColor theme="6" tint="0.79998168889431442"/>
        </patternFill>
      </fill>
    </dxf>
  </rfmt>
  <rfmt sheetId="2" sqref="AH13" start="0" length="2147483647">
    <dxf>
      <font>
        <sz val="10"/>
      </font>
    </dxf>
  </rfmt>
  <rfmt sheetId="2" s="1" sqref="AH13" start="0" length="0">
    <dxf>
      <font>
        <sz val="12"/>
        <color auto="1"/>
        <name val="Times New Roman"/>
        <scheme val="none"/>
      </font>
      <numFmt numFmtId="0" formatCode="General"/>
      <fill>
        <patternFill patternType="none">
          <bgColor indexed="65"/>
        </patternFill>
      </fill>
    </dxf>
  </rfmt>
  <rcc rId="645" sId="2">
    <oc r="AH13" t="inlineStr">
      <is>
        <t xml:space="preserve"> ОАиГ:
Заключены договора с ООО "СКК" на сумму 190,68 тыс.руб. на изготовление и поставку полиграфической продукции к 9 мая: 
- от 05.02.2025 №25СКК056 на сумму 56,26 тыс.руб.;
- от 22.04.2025 №25СКК163 на сумму 134,42 тыс.руб. 
Услуги оказаны и оплачены в полном объеме.
В целях художественного оформления фасадов многоквартирных домов заключены муниципальные контракты:
- №01873000137250000220001 от 24.03.2025 на сумму 525,40 тыс.руб. (ул. Степана Повха, д.16). Работы выполнены и оплачены в полном объеме.
- №01873000137250000210001 от 24.03.2025 на сумму 271,04 тыс.руб. (ул. Сибирская, д.3). Работы выполнены и оплачены в полном объеме.
- №01873000137250000390001 от 08.04.2025 на сумму 1 890,00 тыс.руб. (Сургутское шоссе 3, 11А, 13). Срок выполнения работ - 01.08.2025.                                                                                                                                                                 На выполнение работ (оказание услуг) в 2025 году заключены МК: 
   - от 05.11.2024 №0187300013724000251 с ИП Блаженским М.В. на оказание услуг по очистке, погрузке и вывозу снега с территории города Когалыма на сумму 49 010,00 тыс.руб.(услуги оказываются с 05.11.2024), дополнительным соглашением контракт был увеличен, сумма контракта 53 911,00 тыс.рублей
-услуги оказаны и оплачены в полном объеме.
   - от 30.09.2024 №0187300013724000219 с ИП Сагидовым М.С. на оказание услуг по содержанию мест (площадок) накопления ТКО на сумму 1 815,149 тыс.руб. (в т.ч. на 2025 год на сумму 884,854 тыс.руб.);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 от 08.11.2024 №0187300013724000258 и №0187300013724000259 с ИП Нуриахметовым Г.В. на поставку, монтаж и содержание зимних горок на сумму 2 458,346 тыс.руб. и 3 770,00 тыс.руб. соответственно;
   - от 29.12.2024 №0187300013724000279 с ООО "Ритуал" на оказание услуг по содержанию городского кладбища на территории города Когалыма на сумму 3 858,656 тыс.руб.;
   - от 18.12.2024 №ЭС1902000062/25 с АО "Газпром энергосбыт Тюмень" на сумму 21 642,4 тыс.руб. на электроэнергию сетей НО улиц и дворовых территорий.
 - от 11.03.2025 №2025.249062 с ИП ИВЛЮТИН ИГОРЬ АЛЕКСАНДРОВИЧ на сумму 220,00 тыс.рублей на поставку флагов;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 от 25.03.2025 №7/2025 с ИП Блаженским М.В. на оказание услуг по очистке, погрузке и вывозу снега с территории города Когалыма на сумму 598,85 тыс.руб;
- от 25.03.2025 №8/2025 с ИП Блаженским М.В. на оказание услуг по очистке, погрузке и вывозу снега с территории города Когалыма на сумму 598,85 тыс.руб;
-от 25.03.2025 №9/2025 с ИП Блаженским М.В. на оказание услуг по очистке, погрузке и вывозу снега с территории города Когалыма на сумму 598,85 тыс.руб;
- от 27.03.2025 №0387300043825000002 с  с ИП Блаженским М.В. на оказание услуг по очистке, погрузке и вывозу снега с территории города Когалыма на сумму 6 603,30 тыс. руб;
- от 28.03.2025 №0187300013725000027 с ИП Козер С.А. выполнение работ по ремонту пешеходных дорожек и тротуаров в городе Когалыме на сумму 6 097,54 тыс. руб;
- от 31.03.2025 №10/2025 с ИП БЕЛОЗЕРОВ ВЛАДИСЛАВ АЛЕКСАНДРОВИЧ на оказание услуг по изготовлению пленки с оклейкой (брендирование) транспортных средств (автобусов) на сумму 460,68 тыс. руб;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Ханты-Мансийский автономный округ-Югра, г. Когалым, ул. Береговая, район дома 101 на сумму 302,90 тыс.руб;
- от 31.03.2025 №11/2025 с ИП МОЦБАВЕР ЕМЕЛЬЯН ЕМЕЛЬЯНОВИЧ на оказание услуг по откачке дождевых вод на сумму 592,04 тыс.руб.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 на оформление технических планов на инженерные сети ливневой канализации в сумме 91,0 тыс.руб.
- от 03.04.2025 №ЮЭ86КО1700000483 с АО "ЮГРА-ЭКОЛОГИЯ" на оказание услуг по обращению с твердыми коммунальными отходами с бюджетной организацией на сумму 120,1 иыс.руб.;
- от 03.04.2025 №2/Л с ООО "РГС" на Выполнение работ по капитальному ремонту фонтанов на территории Рябинового бульвара, расположенного вдоль улицы Прибалтийской  на сумму 36 496,00 ты. руб.;
- от 09.04.2025 №4/Л  с ООО " ДОРСТРОЙСЕРВИС " на Выполнение работ по обустройству пешеходной дорожки от объекта благоустройства "Экотропа" до пешеходной дорожки от улицы Дружбы народов до улицы Широкая на сумму 2 521,00 тыс. руб.;
- от 10.04.2025 №3/Л с ООО " ДОРСТРОЙСЕРВИС " на Выполнение работ по ремонту пешеходной дорожки от улицы дружбы народов до улицы Широкая на сумму 20 000,00 тыс.руб.;
- от 14.04.2025 №15/2025 с ИП Гаджикулиев Физули Мусануфович на Оказание услуг по удалению ледяных пробок паром высокого давления в системе ливневой канализации на территории города Когалыма на сумму 600,00 тыс.руб.;
- от 15.04.2025 №0187300013725000053 с ИП Блаженским М.В. на оказание услуг по очистке, погрузке и вывозу снега с территории города Когалыма на сумму 20 861,5 тыс.руб.;
- от 15.04.2025 №16/2025 с ИП КАБАЦКИЙ ЮРИЙ НИКОЛАЕВИЧ на Оказание услуг по демонтажу и транспортировке на хранение новогодних композиций на сумму 446,04 тыс.руб.;
- от 15.04.2025 №17/2025 с ООО "УПТК" на  Оказание услуг по хранению новогодних композиций на сумму 380,10 тыс. руб.;
- от 18.04.2025 №1/2213 с ИП Ханиева Н.А. на Оказание услуг по оформлению технических планов на инженерные сети ливневой канализации на сумму 91,0 тыс. руб.;
- от 22.04.2025 №25СКК163 с ООО "СПОРТИВНО-КУЛЬТУРНЫЙ КОМПЛЕКС" на поставку полиграфической продукции на сумму 134,42 тыс. руб.;
- от 24.04.2025 №18/2025 с ООО "ГАРАНТИЯ" на оказание услуг по содержанию специальных урн (дог-боксов) на сумму 228,8 тыс. руб.;
- от 24.04.2025 №19/2025 с ИП БЕЛОЗЕРОВ ВЛАДИСЛАВ АЛЕКСАНДРОВИЧ на оказание услуг по изготовлению пленки с оклейкой (брендирование) транспортных средств (автобусов) на сумму 560,9 тыс. руб.;
- от 28.04.2025 №201 с ООО "Частная охранная организация "Вектор" на оказание услуг по охране объекта "Этнодеревня" на территории города Когалыма на сумму 474,48 тыс. руб.;
- от 29.04.2025 №20/2025 с ИП Лучинина М.М. на выполнение работ по разработке проектно- сметной документации на строительство объекта благоустройства "Экотропа в г.Когалыме" 2 этап на сумму 318,19 тыс. руб.;
- от 30.04.2025 №21/2025 с ИП Скляр Леонид Петрович на оказание услуг по содержанию объекта "Этнодеревня" на сумму 559,39 тыс. руб.;
- от 30.04.2025 №22/2025 с ООО "ТУРА-ЗЕЛЕНГРУПП" на поставку саженцев деревьев на сумму 599,99 тыс. руб.;
- от 22.05.2025 №24/2025 с ИП Никулина Наталья Эдуардовна на поставку флагов на сумму 417,58 тыс.руб.;
- от 20.05.2025 №6/1 с ИП Гультяев Артур Вячеславович на выполнение работ по покраске фасадов жилых домов в городе Когалыме на сумму 37 468,62 тыс. руб.;
- от 28.05.2025 №2025.612214 с ООО "СТРОЙУСПЕХ" на поставка хозяйственных товаров на сумму 98,46 тыс. руб.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t>
      </is>
    </oc>
    <nc r="AH13" t="inlineStr">
      <is>
        <t>ОАиГ:
Заключены договора с ООО "СКК" на сумму 190,68 тыс.руб. на изготовление и поставку полиграфической продукции к 9 мая: 
- от 05.02.2025 №25СКК056 на сумму 56,26 тыс.руб.;
- от 22.04.2025 №25СКК163 на сумму 134,42 тыс.руб. 
Услуги оказаны и оплачены в полном объеме.
В целях художественного оформления фасадов многоквартирных домов заключены муниципальные контракты:
- №01873000137250000220001 от 24.03.2025 на сумму 525,40 тыс.руб. (ул. Степана Повха, д.16). Работы выполнены и оплачены в полном объеме.
- №01873000137250000210001 от 24.03.2025 на сумму 271,04 тыс.руб. (ул. Сибирская, д.3). Работы выполнены и оплачены в полном объеме.
- №01873000137250000390001 от 08.04.2025 на сумму 1 890,00 тыс.руб. (Сургутское шоссе 3, 11А, 13). Срок выполнения работ - 01.08.2025. Работы выполнены ведется приемка.     Плановая оплата за разработку мастер плана в размере 4 500,0 тыс. руб. запланирована на ноябрь 2025</t>
      </is>
    </nc>
  </rcc>
  <rfmt sheetId="2" sqref="AH13">
    <dxf>
      <alignment vertical="top" readingOrder="0"/>
    </dxf>
  </rfmt>
  <rcc rId="646" sId="2" odxf="1" s="1" dxf="1">
    <nc r="AH14" t="inlineStr">
      <is>
        <t xml:space="preserve">На выполнение работ (оказание услуг) в 2025 году заключены МК: 
- №0187300013720000073 от 14.07.2020 с ООО "БЛ ЭНЕРГО"на выполнение работ по энергосбережению и повышению энергетической эффективности при эксплуатации объектов наружного (уличного) освещения в городе Когалыме - цена контракта 51 159,40812тыс. руб., ведется выполнение работ;
   - от 30.09.2024 №0187300013724000219 с ИП САГИТОВ М.С. на оказание услуг по содержанию мест (площадок) накопления твердых коммунальных отходов - цена контракта 1 850,14944тыс. руб., ведется оказание услуг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работы выполнены и оплачены в полном объеме;
     - от 08.11.2024 №0187300013724000258 с ИП НУРИАХМЕТОВ Г.В. на поставку, монтаж и содержание зимних горок, - цена контракта 2 458,3465тыс. руб., - работы выполнены и оплачены в полном объеме.
- от 08.11.2024 №0187300013724000259 с ИП НУРИАХМЕТОВ Г.В. на оказание услуг по монтажу и содержанию зимних горок - цена контракта 3 770, 00 тыс. руб., услуги оказаны и оплачены в полном объеме.
   -  от 29.11.2024 №0187300013724000279 с ООО "Ритуал" на оказание услуг по содержанию городского кладбища на территории города Когалыма - цена контракта 3 858,656 тыс. руб., ведется оказание услуг. 
- от 09.12.2024 №1-34-КО с ООО "Ритуал" на предоставлении из бюджета города Когалыма субсидии на возмещение части затрат в связи с оказанием ритуальных услуг - цена контракта 1 325,604 тыс. руб., ведется оказание услуг.
- от 18.12.2024 №ЭС1902000062/25 с АО "Газпром энергосбыт Тюмень" на сумму 21 642,4 тыс.руб. на электроэнергию сетей НО улиц и дворовых территорий- ведется оказание услуг.
 -  от 11.03.2025 №2025.249062 с ИП ИВЛЮТИН И.А. на поставку флагов- цена контракта 220тыс. руб., работы выполнены и оплачены в полном объеме.
-  от 22.05.2025 №24/2025 с ИП Никулина Н.Э. на поставку флагов - цена контракта 417,58тыс. руб., работы выполнены и оплачены в полном объеме.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работы выполнены и оплачены в полном объеме;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ХМАО, г. Когалым, ул. Береговая, район дома 101 - цена контракта 302,901 тыс. руб., услуга оказана и оплачены в полном объеме.
 - от 25.03.2025 №7/2025 с ИП Блаженским М.В. на оказание услуг по очистке, погрузке и вывозу снега с территории города Когалыма на сумму 598,85 тыс.руб. услуга выполнена в полном объеме и оплачена;
- от 25.03.2025 №8/2025 с ИП Блаженским М.В. на оказание услуг по очистке, погрузке и вывозу снега с территории города Когалыма на сумму 598,85 тыс.руб. услуга выполнена в полном объеме и оплачена;
-от 25.03.2025 №9/2025 с ИП Блаженским М.В. на оказание услуг по очистке, погрузке и вывозу снега с территории города Когалыма на сумму 598,85 тыс.руб, услуга выполнена в полном объеме и оплачена;
- от 27.03.2025 №0387300043825000002 с  с ИП Блаженским М.В. на оказание услуг по очистке, погрузке и вывозу снега с территории города Когалыма на сумму 6 603,30 тыс. руб. услуга выполнена в полном объеме и оплачена;
-  от 28.03.2025 №0187300013725000027 с ИП КОЗЕР С.А. на выполнение работ по ремонту пешеходных дорожек и тротуаров в городе Когалыме - цена контракта 6 097,54895тыс. руб., работы выполнены и оплачены в полном объеме.
- от 31.03.2025 №10/2025 с ИП БЕЛОЗЕРОВ В.А. на оказание услуг по изготовлению пленки с оклейкой (брендирование) транспортных средств (автобусов) - цена контракта 460,68 тыс. руб., услуги оказаны и оплачены в полном объеме.
- от 31.03.2025  №11/2025 с ИП МОЦБАВЕР Е.Е. на оказание услуг по откачке дождевых вод - цена контракта 592,04тыс. руб., услуга оказана и оплачена.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услуга оказана вып;
- на оформление технических планов на инженерные сети ливневой канализации в сумме 91,0 тыс.руб.
- от 03.04.2025 №ЮЭ86КО1700000483 с АО  "ЮГРА-ЭКОЛОГИЯ" на оказание услуг по обращению с твердыми коммунальными отходами с бюджетной организацией - цена контракта 120,10 тыс. руб., услуга выполнена в полном объеме и оплачена.
-  от 03.04.2025 №2/Л ООО "РГС" на выполнение работ по капитальному ремонту фонтанов на территории Рябинового бульвара, расположенного вдоль улицы Прибалтийской - цена контракта 36 496тыс. руб., работы выполнены и оплачены в полном объеме; 
- от 09.04.2025 №4/Л с ООО " ДОРСТРОЙСЕРВИС " на выполнение работ по обустройству пешеходной дорожки от объекта благоустройства "Экотропа" до пешеходной дорожки от улицы Дружбы народов до улицы Широкая - цена контракта 2 521тыс. руб., работы выполнены и оплачены. 
- от 10.04.2025 №3/Л с ООО " ДОРСТРОЙСЕРВИС "на выполнение работ по ремонту пешеходной дорожки от улицы дружбы народов до улицы Широкая - цена контракта 20 000 тыс. руб., работы выполнены и оплачены.
- от 14.04.2025 №15/2025 с  ИП Гаджикулиев Ф.М. на оказание услуг по удалению ледяных пробок паром высокого давления в системе ливневой канализации на территории города Когалыма - цена контракта 600тыс. руб., услуги оказаны и оплачена в полном объеме.
- от 15.04.2025 №0187300013725000053 с ИП Блаженским М.В. на оказание услуг по очистке, погрузке и вывозу снега с территории города Когалыма на сумму 20 861,5 тыс.руб.;
- от 15.04.2025 №16/2025 с ИП КАБАЦКИЙ Ю.Н. на оказание услуг по демонтажу и транспортировке на хранение новогодних композиций  - цена контракта 446,04 тыс. руб., услуги оказаны и оплачена в полном объеме;
-  от 15.04.2025 №17/2025 с ООО "УПТК" на оказание услуг по хранению новогодних композиций- цена контракта 380,1тыс. руб., ведется оказание услуг; 
- от 18.04.2025 №1/2213 с ИП ХАНИЕВА Н.А. на оказание услуг по оформлению технических планов на инженерные сети ливневой канализации- цена контракта 91,0 тыс. руб., услуги оказаны и оплачены. 
- от 22.04.2025 №25СКК163 с ООО "СПОРТИВНО-КУЛЬТУРНЫЙ КОМПЛЕКС"
на поставку полиграфической продукции- цена контракта 134,42тыс. руб., поставка выполнена и оплачена в полном объеме;
- от 24.04.2025 №18/2025 с ООО "Гарантия" на оказание услуг по содержанию специальных урн (дог-боксов) - цена контракта 228,8 тыс. руб., ведется оказание услуг. 
-  от 24.04.2025 №19/2025 с ИП БЕЛОЗЕРОВ В.А. на оказание услуг по изготовлению пленки с оклейкой (брендирование) транспортных средств (автобусов) - цена контракта 560,9тыс. руб., услуги оказаны и оплачены в полном объеме. 
- от 24.04.2025 №18/2025 с ООО "Гарантия" на оказание услуг по содержанию специальных урн (дог-боксов) - цена контракта 228,8 тыс. руб., ведется оказание услуг. 
- от 28.04.2025 №201 с ООО "Частная охранная организация "Вектор" на оказание услуг по охране объекта "Этнодеревня" на территории города Когалыма на сумму 474,48 тыс. руб. контракт исполнен;
- от 29.04.2025 №20/2025 с ИП ЛУЧИНИНА М.М. на выполнение работ по разработке проектно-сметной документации на обустройство пешеходной дорожки от объекта благоустройства "Экотропа" до пешеходной дорожки от улицы Дружбы народов до улицы Широкая - цена контракта 318,19тыс. руб., работы выполнены и оплачены в полном объеме.
- от 30.04.2025 №21/2025 с ИП Скляр Леонид Петрович на оказание услуг по содержанию объекта "Этнодеревня" на сумму 559,39 тыс. руб.; ведется оказание услуг.
- от 30.04.2025 №22/2025 ООО "ТУРА-ЗЕЛЕНГРУПП" на поставку саженцев деревьев
- цена контракта 599,9тыс. руб., работы выполнены и оплачены в полном объеме. 
- от 14.05.2025 №0187300013725000081 с ИП САГИДОВ М.С. на оказание услуг по содержанию площадок для выгула животных- цена контракта 2 000 тыс. руб., оказание услуг с 01.12.2025 по 30.11.2027.
- от 19.05.2025 №23/2025 с ИП Лучинина М.М.на разработку проектной документации на  устройство объекта: "Пешеходная и велосипедная дорожки в 5м микрорайоне города Когалыма (в границах ул.Мира, ул.Градостроителей, Объездной дороги)" - цена контракта 592тыс. руб., контракт исполнен.
- от 22.05.2025 №24/2025 с ИП Никулина Наталья Эдуардовна на поставку флагов на сумму 417,58 тыс.руб. услуга выполнена в полном объеме и оплачена;
- от 20.05.2025 №6/1 с ИП Гультяев А.В. на выполнение работ по покраске фасадов жилых домов в городе Когалыме - цена контракта 37 468,62тыс. руб., работы выполнены и оплачены в полном объеме.
-  от 28.05.2025 №2025.612214 ООО "СТРОЙУСПЕХ" на поставку хозяйственных товаров - цена контракта 98,46тыс. руб., контракт исполнен.
- от 11.06.2025№2025.674963 с ООО "СТРОЙУСПЕХ" на поставку хозяйственных товаров - цена контракта 86,45тыс. руб., контракт исполнен. 
- от 11.06.2025 №0187300013725000107 с ИП КОЗЕР С.А.на выполнение работ по покраске конструкций Пешеходного моста через реку Ингу-Ягун по адресу: город Когалым, район Административного здания блока «С» - цена контракта 1 273,16713тыс. руб., работы выполнены и оплачены в полном объеме. 
- от 11.06.2025 №29/2025 с ИП КОЗЕР С.А. на выполнение работ по окраске сооружений, установленных на центральной площади по улице Мира в городе Когалыме - цена контракта 159,988 тыс. руб., работы выполнены и оплачены в полном объеме.
- от 17.06.2025 №0187300013725000119 с ООО "МЕГАПЛАСТ" на выполнение работ по ремонту объекта "Архитектурная композиция и основание", расположенного на пересечении улиц Дружбы Народов - Молодёжная - Югорская (Жемчужина) в городе Когалыме - цена контракта 4 013,31925тыс. руб., ведется выполнение работ.
-  от 18.06.2025 №1/2310 с ИП ХАНИЕВА Н.А. на выполнение инженерных изысканий на устройство объекта "Пешеходная и велосипедные дорожки в 5-м микрорайоне города Когалыма (в границах ул.Мира, ул.Градостроителей, Объездной дороги" - цена контракта 565тыс. руб., контракт исполнен.
-  от 30.06.2025 №0187300013725000131с ИП СУСЛОВ Д.М. на выполнение работ по обустройству пешеходных дорожек и тротуаров в городе Когалыме - цена контракта 3 332тыс. руб., контракт исполнен.
 - от 30.06.2025 №0187300013725000133 с ИП БАРАНОВ А.А. на выполнение работ по обустройству ливневой канализации на дворовых территориях в городе Когалыме - цена контракта 1 662,26166тыс. руб., ведется выполнение работ.
- от 30.06.2025 №0187300013725000134 с ИП БАРАНОВ А.А. на выполнение работ по ремонту пешеходных дорожек и тротуаров в городе Когалыме - цена контракта 3 702,32768тыс. руб., контракт исполнен.
-  от 01.07.2025 №37/2025 ИП ГОРБАТОВ А.В.на поставку розовых искусственных веток "Сакуры"- цена контракта 453тыс. руб., услуга выполнена в полном объеме и оплачена.
- от 07.07.2025 №0187300013725000132 с ООО «КВИКСИ ГРУПП» на оказание услуг по ремонту сухого фонтана на площади по улице Мира в городе Когалыме - цена контракта - 5 357,10 тыс. руб., услуга выполнена в полном объеме и оплачена;
- от 11.07.2025 41/2025 с ИП Мустафаев Р.М. на оказание услуг по покосу газонной травы на территориях города Когалыма- цена 598,35 тыс. руб., контракт исполнен.
- от 11.07.2025 №0187300013725000140 ИП КОЗЕР С.С. на выполнение работ по ремонту пешеходных дорожек и тротуаров в городе Когалыме - цена контракт - 5 220,83883 тыс. руб., работы выполнены и оплачены в полном объеме.
- от 23.07.2025 №44/2025 ООО "СПОРТИВНО-КУЛЬТУРНЫЙ КОМПЛЕКС"
на поставку полиграфической продукции - цена контракта 125,25тыс. руб., поставка выполнена и оплачена в полном объеме;
-  от 25.07.2025 №46/2025 с ООО "Частная охранная организация "Вектор" на оказание услуг по охране объекта "Этнодеревня" на территории города Когалым - цена контракта 474.48632 тыс. руб., ведется оказание услуг;  
- от 25.07.2025 45/2025 с ИП Мустафаев Р.М. на оказание услуг по покосу газонной травы на территориях города Когалыма - цена 598,35 тыс. руб., контракт исполнен.
- от 28.07.2025 №0187300013725000150 с ООО "МЕГАПЛАСТ" на выполнение работ по ремонту пешеходных дорожек и тротуаров в городе Когалыме - цена контракта 1 497,11815 тыс. руб., контракт исполнен.
- от 28.07.2025 № 0187300013725000157 с ООО "АКВАСТРОЙ-СЕРВИС" на выполнение работ по обустройству ливневой канализации на дворовых территориях в городе Когалыме - цена контракта - 8 859,00174 тыс. руб., работы ведутся;
- от 28.07.2025 №0187300013725000158 с АО ЦЕНТР ИНЖЕНЕРНО-ЭКОЛОГИЧЕСКОЙ БЕЗОПАСНОСТИ "РУСИЧ" на выполнение работ по очистке дождеприемных колодцев и промывке ливневой канализации на территории города Когалыма - цена контракта - 13 324,077 тыс. руб., работы ведутся.
- от 07.08.2025 №25СКК249 ООО "СПОРТИВНО-КУЛЬТУРНЫЙ КОМПЛЕКС"
на поставку полиграфической продукции - цена контракта 36,66тыс. руб.,поставка выполнена и оплачена в полном объеме;
- от 12.08.2025 №55/2025 с ООО "Сантехсервис"на выполнение работ по восстановлению канализационных колодцев с люками и прилегающего к ним асфальтного покрытия по ул.Молодежная, д.20 (Монетка), 10/2 (ЕДДС) - цена контракта 207,5тыс. руб., услуги оказаны и оплачена в полном объеме.
- от 03.09.2025 63/2025 с ИП Мустафаев Р.М. на оказание услуг по покосу газонной травы на территориях города Когалыма - цена 597,87 тыс. руб., контракт исполнен. 
- от 04.09.2025 №25СКК267 ООО "СПОРТИВНО-КУЛЬТУРНЫЙ КОМПЛЕКС"на поставку полиграфической продукции - цена контракта 42,57тыс. руб.,поставка выполнена и оплачена в полном объеме;
- от 06.10.2025 №76/2025 с ООО "РЕГИОНАЛЬНЫЙ ЦЕНТР СТОИМОСТНОГО ИНЖИНИРИНГА И ЭКСПЕРТИЗЫ" на оказание услуг по расчету стоимости содержания объектов благоустройства города Когалыма - цена контракта 98,00 тыс. руб.
- от 30.10.2025 №US01.1500.2025.359 с АО "РОССЕТИ ТЮМЕНЬ" на оказание услуг по демонтажу сезонных веток на светодиодных деревьях - цена контракта 99,72 тыс. руб.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t>
      </is>
    </nc>
    <odxf>
      <font>
        <b/>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sz val="12"/>
        <color auto="1"/>
        <name val="Times New Roman"/>
        <scheme val="none"/>
      </font>
      <numFmt numFmtId="165" formatCode="#,##0_ ;[Red]\-#,##0\ "/>
      <fill>
        <patternFill>
          <bgColor theme="6" tint="0.79998168889431442"/>
        </patternFill>
      </fill>
      <alignment horizontal="left" vertical="top" readingOrder="0"/>
    </ndxf>
  </rcc>
  <rfmt sheetId="2" sqref="AH14">
    <dxf>
      <fill>
        <patternFill>
          <bgColor theme="0"/>
        </patternFill>
      </fill>
    </dxf>
  </rfmt>
  <rcv guid="{A4AF2100-C59D-4F60-9EAB-56D9103463F7}" action="delete"/>
  <rdn rId="0" localSheetId="1" customView="1" name="Z_A4AF2100_C59D_4F60_9EAB_56D9103463F7_.wvu.Rows" hidden="1" oldHidden="1">
    <formula>'1. РО'!$28:$28,'1. РО'!$32:$32,'1. РО'!$52:$52,'1. РО'!$61:$61,'1. РО'!$73:$73,'1. РО'!$77:$77</formula>
    <oldFormula>'1. РО'!$28:$28,'1. РО'!$32:$32,'1. РО'!$52:$52,'1. РО'!$61:$61,'1. РО'!$73:$73,'1. РО'!$77:$77</oldFormula>
  </rdn>
  <rdn rId="0" localSheetId="4" customView="1" name="Z_A4AF2100_C59D_4F60_9EAB_56D9103463F7_.wvu.Rows" hidden="1" oldHidden="1">
    <formula>'4. КП'!$23:$23,'4. КП'!$27:$27,'4. КП'!$68:$68,'4. КП'!$75:$75,'4. КП'!$83:$83,'4. КП'!$87:$88,'4. КП'!$91:$91,'4. КП'!$93:$93</formula>
    <oldFormula>'4. КП'!$23:$23,'4. КП'!$27:$27,'4. КП'!$68:$68,'4. КП'!$75:$75,'4. КП'!$83:$83,'4. КП'!$87:$88,'4. КП'!$91:$91,'4. КП'!$93:$93</oldFormula>
  </rdn>
  <rdn rId="0" localSheetId="5" customView="1" name="Z_A4AF2100_C59D_4F60_9EAB_56D9103463F7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4AF2100_C59D_4F60_9EAB_56D9103463F7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4AF2100_C59D_4F60_9EAB_56D9103463F7_.wvu.Rows" hidden="1" oldHidden="1">
    <formula>'9. РЖКК'!$14:$14,'9. РЖКК'!$28:$28</formula>
    <oldFormula>'9. РЖКК'!$14:$14,'9. РЖКК'!$28:$28</oldFormula>
  </rdn>
  <rdn rId="0" localSheetId="14" customView="1" name="Z_A4AF2100_C59D_4F60_9EAB_56D9103463F7_.wvu.Rows" hidden="1" oldHidden="1">
    <formula>'14. РТС'!$14:$15,'14. РТС'!$19:$19,'14. РТС'!$30:$30,'14. РТС'!$33:$33,'14. РТС'!$36:$36,'14. РТС'!$43:$43</formula>
    <oldFormula>'14. РТС'!$14:$15,'14. РТС'!$19:$19,'14. РТС'!$30:$30,'14. РТС'!$33:$33,'14. РТС'!$36:$36,'14. РТС'!$43:$43</oldFormula>
  </rdn>
  <rdn rId="0" localSheetId="17" customView="1" name="Z_A4AF2100_C59D_4F60_9EAB_56D9103463F7_.wvu.PrintTitles" hidden="1" oldHidden="1">
    <formula>'17. УМИ'!$4:$7</formula>
  </rdn>
  <rdn rId="0" localSheetId="20" customView="1" name="Z_A4AF2100_C59D_4F60_9EAB_56D9103463F7_.wvu.Rows" hidden="1" oldHidden="1">
    <formula>'20. МСП'!$19:$19</formula>
    <oldFormula>'20. МСП'!$19:$19</oldFormula>
  </rdn>
  <rcv guid="{A4AF2100-C59D-4F60-9EAB-56D9103463F7}"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686A221-D885-4536-BEAC-E7F4BBC02150}" action="delete"/>
  <rdn rId="0" localSheetId="1" customView="1" name="Z_B686A221_D885_4536_BEAC_E7F4BBC02150_.wvu.Rows" hidden="1" oldHidden="1">
    <formula>'1. РО'!$28:$28,'1. РО'!$32:$32,'1. РО'!$52:$52,'1. РО'!$61:$61,'1. РО'!$73:$73,'1. РО'!$77:$77</formula>
    <oldFormula>'1. РО'!$28:$28,'1. РО'!$32:$32,'1. РО'!$52:$52,'1. РО'!$61:$61,'1. РО'!$73:$73,'1. РО'!$77:$77</oldFormula>
  </rdn>
  <rdn rId="0" localSheetId="4" customView="1" name="Z_B686A221_D885_4536_BEAC_E7F4BBC02150_.wvu.Rows" hidden="1" oldHidden="1">
    <formula>'4. КП'!$23:$23,'4. КП'!$27:$27,'4. КП'!$68:$68,'4. КП'!$75:$75,'4. КП'!$83:$83,'4. КП'!$87:$88,'4. КП'!$91:$91,'4. КП'!$93:$93</formula>
    <oldFormula>'4. КП'!$23:$23,'4. КП'!$27:$27,'4. КП'!$68:$68,'4. КП'!$75:$75,'4. КП'!$83:$83,'4. КП'!$87:$88,'4. КП'!$91:$91,'4. КП'!$93:$93</oldFormula>
  </rdn>
  <rdn rId="0" localSheetId="5" customView="1" name="Z_B686A221_D885_4536_BEAC_E7F4BBC0215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686A221_D885_4536_BEAC_E7F4BBC0215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686A221_D885_4536_BEAC_E7F4BBC02150_.wvu.Rows" hidden="1" oldHidden="1">
    <formula>'9. РЖКК'!$14:$14,'9. РЖКК'!$28:$28</formula>
    <oldFormula>'9. РЖКК'!$14:$14,'9. РЖКК'!$28:$28</oldFormula>
  </rdn>
  <rdn rId="0" localSheetId="14" customView="1" name="Z_B686A221_D885_4536_BEAC_E7F4BBC02150_.wvu.Rows" hidden="1" oldHidden="1">
    <formula>'14. РТС'!$14:$15,'14. РТС'!$19:$19,'14. РТС'!$30:$30,'14. РТС'!$33:$33,'14. РТС'!$36:$36,'14. РТС'!$43:$43</formula>
    <oldFormula>'14. РТС'!$14:$15,'14. РТС'!$19:$19,'14. РТС'!$30:$30,'14. РТС'!$33:$33,'14. РТС'!$36:$36,'14. РТС'!$43:$43</oldFormula>
  </rdn>
  <rdn rId="0" localSheetId="17" customView="1" name="Z_B686A221_D885_4536_BEAC_E7F4BBC02150_.wvu.PrintTitles" hidden="1" oldHidden="1">
    <formula>'17. УМИ'!$4:$7</formula>
    <oldFormula>'17. УМИ'!$4:$7</oldFormula>
  </rdn>
  <rdn rId="0" localSheetId="20" customView="1" name="Z_B686A221_D885_4536_BEAC_E7F4BBC02150_.wvu.Rows" hidden="1" oldHidden="1">
    <formula>'20. МСП'!$19:$19</formula>
    <oldFormula>'20. МСП'!$19:$19</oldFormula>
  </rdn>
  <rcv guid="{B686A221-D885-4536-BEAC-E7F4BBC02150}"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3" sId="11" numFmtId="19">
    <oc r="E6">
      <v>45839</v>
    </oc>
    <nc r="E6">
      <v>45962</v>
    </nc>
  </rcc>
  <rcc rId="664" sId="11" numFmtId="19">
    <oc r="F6">
      <v>45839</v>
    </oc>
    <nc r="F6">
      <v>45962</v>
    </nc>
  </rcc>
  <rcc rId="665" sId="11" numFmtId="19">
    <oc r="G6">
      <v>45839</v>
    </oc>
    <nc r="G6">
      <v>45962</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11:D12" start="0" length="2147483647">
    <dxf>
      <font>
        <color auto="1"/>
      </font>
    </dxf>
  </rfmt>
  <rcc rId="666" sId="11">
    <oc r="E12">
      <f>J12</f>
    </oc>
    <nc r="E12">
      <f>J12+L12+N12+P12+R12+T12+V12+X12+Z12+AB12</f>
    </nc>
  </rcc>
  <rfmt sheetId="11" sqref="E11:E12" start="0" length="2147483647">
    <dxf>
      <font>
        <color auto="1"/>
      </font>
    </dxf>
  </rfmt>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9:F9">
    <dxf>
      <fill>
        <patternFill>
          <bgColor theme="0"/>
        </patternFill>
      </fill>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8:D9" start="0" length="2147483647">
    <dxf>
      <font>
        <color auto="1"/>
      </font>
    </dxf>
  </rfmt>
  <rfmt sheetId="11" sqref="E8:E9" start="0" length="2147483647">
    <dxf>
      <font>
        <color auto="1"/>
      </font>
    </dxf>
  </rfmt>
  <rfmt sheetId="11" sqref="F8:F9" start="0" length="2147483647">
    <dxf>
      <font>
        <color auto="1"/>
      </font>
    </dxf>
  </rfmt>
  <rfmt sheetId="11" sqref="G8:G9" start="0" length="2147483647">
    <dxf>
      <font>
        <color auto="1"/>
      </font>
    </dxf>
  </rfmt>
  <rfmt sheetId="11" sqref="H8:I9" start="0" length="2147483647">
    <dxf>
      <font>
        <color auto="1"/>
      </font>
    </dxf>
  </rfmt>
  <rfmt sheetId="11" sqref="F11:G12" start="0" length="2147483647">
    <dxf>
      <font>
        <color auto="1"/>
      </font>
    </dxf>
  </rfmt>
  <rfmt sheetId="11" sqref="H11:I12" start="0" length="2147483647">
    <dxf>
      <font>
        <color auto="1"/>
      </font>
    </dxf>
  </rfmt>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13:D14" start="0" length="2147483647">
    <dxf>
      <font>
        <color auto="1"/>
      </font>
    </dxf>
  </rfmt>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7" sId="11">
    <oc r="E14">
      <f>J14+L14+N14+P14+R14</f>
    </oc>
    <nc r="E14">
      <f>J14+L14+N14+P14+R14+T14+V14+X14+Z14+AB14</f>
    </nc>
  </rcc>
  <rfmt sheetId="11" sqref="E13:E14" start="0" length="2147483647">
    <dxf>
      <font>
        <color auto="1"/>
      </font>
    </dxf>
  </rfmt>
  <rfmt sheetId="11" sqref="F13:I14" start="0" length="2147483647">
    <dxf>
      <font>
        <color auto="1"/>
      </font>
    </dxf>
  </rfmt>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15:D16" start="0" length="2147483647">
    <dxf>
      <font>
        <color auto="1"/>
      </font>
    </dxf>
  </rfmt>
  <rcc rId="668" sId="11">
    <oc r="E16">
      <f>J16</f>
    </oc>
    <nc r="E16">
      <f>J16+L16+N16+P16+R16+T16+V16+X16+Z16+AB16</f>
    </nc>
  </rcc>
  <rfmt sheetId="11" sqref="E15:E16" start="0" length="2147483647">
    <dxf>
      <font>
        <color auto="1"/>
      </font>
    </dxf>
  </rfmt>
  <rfmt sheetId="11" sqref="F15:I16" start="0" length="2147483647">
    <dxf>
      <font>
        <color auto="1"/>
      </font>
    </dxf>
  </rfmt>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1" sqref="D17:D18" start="0" length="2147483647">
    <dxf>
      <font>
        <color auto="1"/>
      </font>
    </dxf>
  </rfmt>
  <rcc rId="669" sId="11">
    <oc r="E18">
      <f>J18+L18+N18+P18</f>
    </oc>
    <nc r="E18">
      <f>J18+L18+N18+P18+R18+T18+V18+X18+Z18+AB18</f>
    </nc>
  </rcc>
  <rfmt sheetId="11" sqref="E17:F18" start="0" length="2147483647">
    <dxf>
      <font>
        <color auto="1"/>
      </font>
    </dxf>
  </rfmt>
  <rfmt sheetId="11" sqref="G17:I18" start="0" length="2147483647">
    <dxf>
      <font>
        <color auto="1"/>
      </font>
    </dxf>
  </rfmt>
  <rfmt sheetId="11" sqref="D19:D20" start="0" length="2147483647">
    <dxf>
      <font>
        <color auto="1"/>
      </font>
    </dxf>
  </rfmt>
  <rcc rId="670" sId="11">
    <oc r="E20">
      <f>J20</f>
    </oc>
    <nc r="E20">
      <f>J20+L20+N20+P20+R20+T20+V20+X20+Z20+AB20</f>
    </nc>
  </rcc>
  <rfmt sheetId="11" sqref="E19:I20" start="0" length="2147483647">
    <dxf>
      <font>
        <color auto="1"/>
      </font>
    </dxf>
  </rfmt>
  <rfmt sheetId="11" sqref="D21:D22" start="0" length="2147483647">
    <dxf>
      <font>
        <color auto="1"/>
      </font>
    </dxf>
  </rfmt>
  <rcc rId="671" sId="11">
    <oc r="E22">
      <f>J22</f>
    </oc>
    <nc r="E22">
      <f>J22+L22+N22+P22+R22+T22+V22+X22+Z22+AB22</f>
    </nc>
  </rcc>
  <rfmt sheetId="11" sqref="E21:E22" start="0" length="2147483647">
    <dxf>
      <font>
        <color auto="1"/>
      </font>
    </dxf>
  </rfmt>
  <rfmt sheetId="11" sqref="F21:I22" start="0" length="2147483647">
    <dxf>
      <font>
        <color auto="1"/>
      </font>
    </dxf>
  </rfmt>
  <rfmt sheetId="11" sqref="B13:B22">
    <dxf>
      <fill>
        <patternFill>
          <bgColor theme="0"/>
        </patternFill>
      </fill>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16.bin"/><Relationship Id="rId13" Type="http://schemas.openxmlformats.org/officeDocument/2006/relationships/printerSettings" Target="../printerSettings/printerSettings221.bin"/><Relationship Id="rId18" Type="http://schemas.openxmlformats.org/officeDocument/2006/relationships/printerSettings" Target="../printerSettings/printerSettings226.bin"/><Relationship Id="rId26" Type="http://schemas.openxmlformats.org/officeDocument/2006/relationships/printerSettings" Target="../printerSettings/printerSettings234.bin"/><Relationship Id="rId3" Type="http://schemas.openxmlformats.org/officeDocument/2006/relationships/printerSettings" Target="../printerSettings/printerSettings211.bin"/><Relationship Id="rId21" Type="http://schemas.openxmlformats.org/officeDocument/2006/relationships/printerSettings" Target="../printerSettings/printerSettings229.bin"/><Relationship Id="rId7" Type="http://schemas.openxmlformats.org/officeDocument/2006/relationships/printerSettings" Target="../printerSettings/printerSettings215.bin"/><Relationship Id="rId12" Type="http://schemas.openxmlformats.org/officeDocument/2006/relationships/printerSettings" Target="../printerSettings/printerSettings220.bin"/><Relationship Id="rId17" Type="http://schemas.openxmlformats.org/officeDocument/2006/relationships/printerSettings" Target="../printerSettings/printerSettings225.bin"/><Relationship Id="rId25" Type="http://schemas.openxmlformats.org/officeDocument/2006/relationships/printerSettings" Target="../printerSettings/printerSettings233.bin"/><Relationship Id="rId2" Type="http://schemas.openxmlformats.org/officeDocument/2006/relationships/printerSettings" Target="../printerSettings/printerSettings210.bin"/><Relationship Id="rId16" Type="http://schemas.openxmlformats.org/officeDocument/2006/relationships/printerSettings" Target="../printerSettings/printerSettings224.bin"/><Relationship Id="rId20" Type="http://schemas.openxmlformats.org/officeDocument/2006/relationships/printerSettings" Target="../printerSettings/printerSettings228.bin"/><Relationship Id="rId29" Type="http://schemas.openxmlformats.org/officeDocument/2006/relationships/printerSettings" Target="../printerSettings/printerSettings237.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11" Type="http://schemas.openxmlformats.org/officeDocument/2006/relationships/printerSettings" Target="../printerSettings/printerSettings219.bin"/><Relationship Id="rId24" Type="http://schemas.openxmlformats.org/officeDocument/2006/relationships/printerSettings" Target="../printerSettings/printerSettings232.bin"/><Relationship Id="rId5" Type="http://schemas.openxmlformats.org/officeDocument/2006/relationships/printerSettings" Target="../printerSettings/printerSettings213.bin"/><Relationship Id="rId15" Type="http://schemas.openxmlformats.org/officeDocument/2006/relationships/printerSettings" Target="../printerSettings/printerSettings223.bin"/><Relationship Id="rId23" Type="http://schemas.openxmlformats.org/officeDocument/2006/relationships/printerSettings" Target="../printerSettings/printerSettings231.bin"/><Relationship Id="rId28" Type="http://schemas.openxmlformats.org/officeDocument/2006/relationships/printerSettings" Target="../printerSettings/printerSettings236.bin"/><Relationship Id="rId10" Type="http://schemas.openxmlformats.org/officeDocument/2006/relationships/printerSettings" Target="../printerSettings/printerSettings218.bin"/><Relationship Id="rId19" Type="http://schemas.openxmlformats.org/officeDocument/2006/relationships/printerSettings" Target="../printerSettings/printerSettings227.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 Id="rId14" Type="http://schemas.openxmlformats.org/officeDocument/2006/relationships/printerSettings" Target="../printerSettings/printerSettings222.bin"/><Relationship Id="rId22" Type="http://schemas.openxmlformats.org/officeDocument/2006/relationships/printerSettings" Target="../printerSettings/printerSettings230.bin"/><Relationship Id="rId27" Type="http://schemas.openxmlformats.org/officeDocument/2006/relationships/printerSettings" Target="../printerSettings/printerSettings235.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45.bin"/><Relationship Id="rId13" Type="http://schemas.openxmlformats.org/officeDocument/2006/relationships/printerSettings" Target="../printerSettings/printerSettings250.bin"/><Relationship Id="rId18" Type="http://schemas.openxmlformats.org/officeDocument/2006/relationships/printerSettings" Target="../printerSettings/printerSettings255.bin"/><Relationship Id="rId26" Type="http://schemas.openxmlformats.org/officeDocument/2006/relationships/printerSettings" Target="../printerSettings/printerSettings263.bin"/><Relationship Id="rId3" Type="http://schemas.openxmlformats.org/officeDocument/2006/relationships/printerSettings" Target="../printerSettings/printerSettings240.bin"/><Relationship Id="rId21" Type="http://schemas.openxmlformats.org/officeDocument/2006/relationships/printerSettings" Target="../printerSettings/printerSettings258.bin"/><Relationship Id="rId7" Type="http://schemas.openxmlformats.org/officeDocument/2006/relationships/printerSettings" Target="../printerSettings/printerSettings244.bin"/><Relationship Id="rId12" Type="http://schemas.openxmlformats.org/officeDocument/2006/relationships/printerSettings" Target="../printerSettings/printerSettings249.bin"/><Relationship Id="rId17" Type="http://schemas.openxmlformats.org/officeDocument/2006/relationships/printerSettings" Target="../printerSettings/printerSettings254.bin"/><Relationship Id="rId25" Type="http://schemas.openxmlformats.org/officeDocument/2006/relationships/printerSettings" Target="../printerSettings/printerSettings262.bin"/><Relationship Id="rId2" Type="http://schemas.openxmlformats.org/officeDocument/2006/relationships/printerSettings" Target="../printerSettings/printerSettings239.bin"/><Relationship Id="rId16" Type="http://schemas.openxmlformats.org/officeDocument/2006/relationships/printerSettings" Target="../printerSettings/printerSettings253.bin"/><Relationship Id="rId20" Type="http://schemas.openxmlformats.org/officeDocument/2006/relationships/printerSettings" Target="../printerSettings/printerSettings257.bin"/><Relationship Id="rId29" Type="http://schemas.openxmlformats.org/officeDocument/2006/relationships/printerSettings" Target="../printerSettings/printerSettings266.bin"/><Relationship Id="rId1" Type="http://schemas.openxmlformats.org/officeDocument/2006/relationships/printerSettings" Target="../printerSettings/printerSettings238.bin"/><Relationship Id="rId6" Type="http://schemas.openxmlformats.org/officeDocument/2006/relationships/printerSettings" Target="../printerSettings/printerSettings243.bin"/><Relationship Id="rId11" Type="http://schemas.openxmlformats.org/officeDocument/2006/relationships/printerSettings" Target="../printerSettings/printerSettings248.bin"/><Relationship Id="rId24" Type="http://schemas.openxmlformats.org/officeDocument/2006/relationships/printerSettings" Target="../printerSettings/printerSettings261.bin"/><Relationship Id="rId5" Type="http://schemas.openxmlformats.org/officeDocument/2006/relationships/printerSettings" Target="../printerSettings/printerSettings242.bin"/><Relationship Id="rId15" Type="http://schemas.openxmlformats.org/officeDocument/2006/relationships/printerSettings" Target="../printerSettings/printerSettings252.bin"/><Relationship Id="rId23" Type="http://schemas.openxmlformats.org/officeDocument/2006/relationships/printerSettings" Target="../printerSettings/printerSettings260.bin"/><Relationship Id="rId28" Type="http://schemas.openxmlformats.org/officeDocument/2006/relationships/printerSettings" Target="../printerSettings/printerSettings265.bin"/><Relationship Id="rId10" Type="http://schemas.openxmlformats.org/officeDocument/2006/relationships/printerSettings" Target="../printerSettings/printerSettings247.bin"/><Relationship Id="rId19" Type="http://schemas.openxmlformats.org/officeDocument/2006/relationships/printerSettings" Target="../printerSettings/printerSettings256.bin"/><Relationship Id="rId4" Type="http://schemas.openxmlformats.org/officeDocument/2006/relationships/printerSettings" Target="../printerSettings/printerSettings241.bin"/><Relationship Id="rId9" Type="http://schemas.openxmlformats.org/officeDocument/2006/relationships/printerSettings" Target="../printerSettings/printerSettings246.bin"/><Relationship Id="rId14" Type="http://schemas.openxmlformats.org/officeDocument/2006/relationships/printerSettings" Target="../printerSettings/printerSettings251.bin"/><Relationship Id="rId22" Type="http://schemas.openxmlformats.org/officeDocument/2006/relationships/printerSettings" Target="../printerSettings/printerSettings259.bin"/><Relationship Id="rId27" Type="http://schemas.openxmlformats.org/officeDocument/2006/relationships/printerSettings" Target="../printerSettings/printerSettings264.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74.bin"/><Relationship Id="rId13" Type="http://schemas.openxmlformats.org/officeDocument/2006/relationships/printerSettings" Target="../printerSettings/printerSettings279.bin"/><Relationship Id="rId18" Type="http://schemas.openxmlformats.org/officeDocument/2006/relationships/printerSettings" Target="../printerSettings/printerSettings284.bin"/><Relationship Id="rId26" Type="http://schemas.openxmlformats.org/officeDocument/2006/relationships/printerSettings" Target="../printerSettings/printerSettings292.bin"/><Relationship Id="rId3" Type="http://schemas.openxmlformats.org/officeDocument/2006/relationships/printerSettings" Target="../printerSettings/printerSettings269.bin"/><Relationship Id="rId21" Type="http://schemas.openxmlformats.org/officeDocument/2006/relationships/printerSettings" Target="../printerSettings/printerSettings287.bin"/><Relationship Id="rId7" Type="http://schemas.openxmlformats.org/officeDocument/2006/relationships/printerSettings" Target="../printerSettings/printerSettings273.bin"/><Relationship Id="rId12" Type="http://schemas.openxmlformats.org/officeDocument/2006/relationships/printerSettings" Target="../printerSettings/printerSettings278.bin"/><Relationship Id="rId17" Type="http://schemas.openxmlformats.org/officeDocument/2006/relationships/printerSettings" Target="../printerSettings/printerSettings283.bin"/><Relationship Id="rId25" Type="http://schemas.openxmlformats.org/officeDocument/2006/relationships/printerSettings" Target="../printerSettings/printerSettings291.bin"/><Relationship Id="rId2" Type="http://schemas.openxmlformats.org/officeDocument/2006/relationships/printerSettings" Target="../printerSettings/printerSettings268.bin"/><Relationship Id="rId16" Type="http://schemas.openxmlformats.org/officeDocument/2006/relationships/printerSettings" Target="../printerSettings/printerSettings282.bin"/><Relationship Id="rId20" Type="http://schemas.openxmlformats.org/officeDocument/2006/relationships/printerSettings" Target="../printerSettings/printerSettings286.bin"/><Relationship Id="rId29" Type="http://schemas.openxmlformats.org/officeDocument/2006/relationships/printerSettings" Target="../printerSettings/printerSettings295.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11" Type="http://schemas.openxmlformats.org/officeDocument/2006/relationships/printerSettings" Target="../printerSettings/printerSettings277.bin"/><Relationship Id="rId24" Type="http://schemas.openxmlformats.org/officeDocument/2006/relationships/printerSettings" Target="../printerSettings/printerSettings290.bin"/><Relationship Id="rId5" Type="http://schemas.openxmlformats.org/officeDocument/2006/relationships/printerSettings" Target="../printerSettings/printerSettings271.bin"/><Relationship Id="rId15" Type="http://schemas.openxmlformats.org/officeDocument/2006/relationships/printerSettings" Target="../printerSettings/printerSettings281.bin"/><Relationship Id="rId23" Type="http://schemas.openxmlformats.org/officeDocument/2006/relationships/printerSettings" Target="../printerSettings/printerSettings289.bin"/><Relationship Id="rId28" Type="http://schemas.openxmlformats.org/officeDocument/2006/relationships/printerSettings" Target="../printerSettings/printerSettings294.bin"/><Relationship Id="rId10" Type="http://schemas.openxmlformats.org/officeDocument/2006/relationships/printerSettings" Target="../printerSettings/printerSettings276.bin"/><Relationship Id="rId19" Type="http://schemas.openxmlformats.org/officeDocument/2006/relationships/printerSettings" Target="../printerSettings/printerSettings285.bin"/><Relationship Id="rId31" Type="http://schemas.openxmlformats.org/officeDocument/2006/relationships/comments" Target="../comments2.xml"/><Relationship Id="rId4" Type="http://schemas.openxmlformats.org/officeDocument/2006/relationships/printerSettings" Target="../printerSettings/printerSettings270.bin"/><Relationship Id="rId9" Type="http://schemas.openxmlformats.org/officeDocument/2006/relationships/printerSettings" Target="../printerSettings/printerSettings275.bin"/><Relationship Id="rId14" Type="http://schemas.openxmlformats.org/officeDocument/2006/relationships/printerSettings" Target="../printerSettings/printerSettings280.bin"/><Relationship Id="rId22" Type="http://schemas.openxmlformats.org/officeDocument/2006/relationships/printerSettings" Target="../printerSettings/printerSettings288.bin"/><Relationship Id="rId27" Type="http://schemas.openxmlformats.org/officeDocument/2006/relationships/printerSettings" Target="../printerSettings/printerSettings293.bin"/><Relationship Id="rId30"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303.bin"/><Relationship Id="rId13" Type="http://schemas.openxmlformats.org/officeDocument/2006/relationships/printerSettings" Target="../printerSettings/printerSettings308.bin"/><Relationship Id="rId18" Type="http://schemas.openxmlformats.org/officeDocument/2006/relationships/printerSettings" Target="../printerSettings/printerSettings313.bin"/><Relationship Id="rId26" Type="http://schemas.openxmlformats.org/officeDocument/2006/relationships/printerSettings" Target="../printerSettings/printerSettings321.bin"/><Relationship Id="rId3" Type="http://schemas.openxmlformats.org/officeDocument/2006/relationships/printerSettings" Target="../printerSettings/printerSettings298.bin"/><Relationship Id="rId21" Type="http://schemas.openxmlformats.org/officeDocument/2006/relationships/printerSettings" Target="../printerSettings/printerSettings316.bin"/><Relationship Id="rId7" Type="http://schemas.openxmlformats.org/officeDocument/2006/relationships/printerSettings" Target="../printerSettings/printerSettings302.bin"/><Relationship Id="rId12" Type="http://schemas.openxmlformats.org/officeDocument/2006/relationships/printerSettings" Target="../printerSettings/printerSettings307.bin"/><Relationship Id="rId17" Type="http://schemas.openxmlformats.org/officeDocument/2006/relationships/printerSettings" Target="../printerSettings/printerSettings312.bin"/><Relationship Id="rId25" Type="http://schemas.openxmlformats.org/officeDocument/2006/relationships/printerSettings" Target="../printerSettings/printerSettings320.bin"/><Relationship Id="rId2" Type="http://schemas.openxmlformats.org/officeDocument/2006/relationships/printerSettings" Target="../printerSettings/printerSettings297.bin"/><Relationship Id="rId16" Type="http://schemas.openxmlformats.org/officeDocument/2006/relationships/printerSettings" Target="../printerSettings/printerSettings311.bin"/><Relationship Id="rId20" Type="http://schemas.openxmlformats.org/officeDocument/2006/relationships/printerSettings" Target="../printerSettings/printerSettings315.bin"/><Relationship Id="rId29" Type="http://schemas.openxmlformats.org/officeDocument/2006/relationships/printerSettings" Target="../printerSettings/printerSettings324.bin"/><Relationship Id="rId1" Type="http://schemas.openxmlformats.org/officeDocument/2006/relationships/printerSettings" Target="../printerSettings/printerSettings296.bin"/><Relationship Id="rId6" Type="http://schemas.openxmlformats.org/officeDocument/2006/relationships/printerSettings" Target="../printerSettings/printerSettings301.bin"/><Relationship Id="rId11" Type="http://schemas.openxmlformats.org/officeDocument/2006/relationships/printerSettings" Target="../printerSettings/printerSettings306.bin"/><Relationship Id="rId24" Type="http://schemas.openxmlformats.org/officeDocument/2006/relationships/printerSettings" Target="../printerSettings/printerSettings319.bin"/><Relationship Id="rId5" Type="http://schemas.openxmlformats.org/officeDocument/2006/relationships/printerSettings" Target="../printerSettings/printerSettings300.bin"/><Relationship Id="rId15" Type="http://schemas.openxmlformats.org/officeDocument/2006/relationships/printerSettings" Target="../printerSettings/printerSettings310.bin"/><Relationship Id="rId23" Type="http://schemas.openxmlformats.org/officeDocument/2006/relationships/printerSettings" Target="../printerSettings/printerSettings318.bin"/><Relationship Id="rId28" Type="http://schemas.openxmlformats.org/officeDocument/2006/relationships/printerSettings" Target="../printerSettings/printerSettings323.bin"/><Relationship Id="rId10" Type="http://schemas.openxmlformats.org/officeDocument/2006/relationships/printerSettings" Target="../printerSettings/printerSettings305.bin"/><Relationship Id="rId19" Type="http://schemas.openxmlformats.org/officeDocument/2006/relationships/printerSettings" Target="../printerSettings/printerSettings314.bin"/><Relationship Id="rId4" Type="http://schemas.openxmlformats.org/officeDocument/2006/relationships/printerSettings" Target="../printerSettings/printerSettings299.bin"/><Relationship Id="rId9" Type="http://schemas.openxmlformats.org/officeDocument/2006/relationships/printerSettings" Target="../printerSettings/printerSettings304.bin"/><Relationship Id="rId14" Type="http://schemas.openxmlformats.org/officeDocument/2006/relationships/printerSettings" Target="../printerSettings/printerSettings309.bin"/><Relationship Id="rId22" Type="http://schemas.openxmlformats.org/officeDocument/2006/relationships/printerSettings" Target="../printerSettings/printerSettings317.bin"/><Relationship Id="rId27" Type="http://schemas.openxmlformats.org/officeDocument/2006/relationships/printerSettings" Target="../printerSettings/printerSettings322.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61.bin"/><Relationship Id="rId13" Type="http://schemas.openxmlformats.org/officeDocument/2006/relationships/printerSettings" Target="../printerSettings/printerSettings366.bin"/><Relationship Id="rId3" Type="http://schemas.openxmlformats.org/officeDocument/2006/relationships/printerSettings" Target="../printerSettings/printerSettings356.bin"/><Relationship Id="rId7" Type="http://schemas.openxmlformats.org/officeDocument/2006/relationships/printerSettings" Target="../printerSettings/printerSettings360.bin"/><Relationship Id="rId12" Type="http://schemas.openxmlformats.org/officeDocument/2006/relationships/printerSettings" Target="../printerSettings/printerSettings365.bin"/><Relationship Id="rId2" Type="http://schemas.openxmlformats.org/officeDocument/2006/relationships/printerSettings" Target="../printerSettings/printerSettings355.bin"/><Relationship Id="rId16" Type="http://schemas.openxmlformats.org/officeDocument/2006/relationships/comments" Target="../comments3.xml"/><Relationship Id="rId1" Type="http://schemas.openxmlformats.org/officeDocument/2006/relationships/printerSettings" Target="../printerSettings/printerSettings354.bin"/><Relationship Id="rId6" Type="http://schemas.openxmlformats.org/officeDocument/2006/relationships/printerSettings" Target="../printerSettings/printerSettings359.bin"/><Relationship Id="rId11" Type="http://schemas.openxmlformats.org/officeDocument/2006/relationships/printerSettings" Target="../printerSettings/printerSettings364.bin"/><Relationship Id="rId5" Type="http://schemas.openxmlformats.org/officeDocument/2006/relationships/printerSettings" Target="../printerSettings/printerSettings358.bin"/><Relationship Id="rId15" Type="http://schemas.openxmlformats.org/officeDocument/2006/relationships/vmlDrawing" Target="../drawings/vmlDrawing3.vml"/><Relationship Id="rId10" Type="http://schemas.openxmlformats.org/officeDocument/2006/relationships/printerSettings" Target="../printerSettings/printerSettings363.bin"/><Relationship Id="rId4" Type="http://schemas.openxmlformats.org/officeDocument/2006/relationships/printerSettings" Target="../printerSettings/printerSettings357.bin"/><Relationship Id="rId9" Type="http://schemas.openxmlformats.org/officeDocument/2006/relationships/printerSettings" Target="../printerSettings/printerSettings362.bin"/><Relationship Id="rId14" Type="http://schemas.openxmlformats.org/officeDocument/2006/relationships/printerSettings" Target="../printerSettings/printerSettings367.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75.bin"/><Relationship Id="rId13" Type="http://schemas.openxmlformats.org/officeDocument/2006/relationships/printerSettings" Target="../printerSettings/printerSettings380.bin"/><Relationship Id="rId18" Type="http://schemas.openxmlformats.org/officeDocument/2006/relationships/printerSettings" Target="../printerSettings/printerSettings385.bin"/><Relationship Id="rId26" Type="http://schemas.openxmlformats.org/officeDocument/2006/relationships/printerSettings" Target="../printerSettings/printerSettings393.bin"/><Relationship Id="rId3" Type="http://schemas.openxmlformats.org/officeDocument/2006/relationships/printerSettings" Target="../printerSettings/printerSettings370.bin"/><Relationship Id="rId21" Type="http://schemas.openxmlformats.org/officeDocument/2006/relationships/printerSettings" Target="../printerSettings/printerSettings388.bin"/><Relationship Id="rId7" Type="http://schemas.openxmlformats.org/officeDocument/2006/relationships/printerSettings" Target="../printerSettings/printerSettings374.bin"/><Relationship Id="rId12" Type="http://schemas.openxmlformats.org/officeDocument/2006/relationships/printerSettings" Target="../printerSettings/printerSettings379.bin"/><Relationship Id="rId17" Type="http://schemas.openxmlformats.org/officeDocument/2006/relationships/printerSettings" Target="../printerSettings/printerSettings384.bin"/><Relationship Id="rId25" Type="http://schemas.openxmlformats.org/officeDocument/2006/relationships/printerSettings" Target="../printerSettings/printerSettings392.bin"/><Relationship Id="rId2" Type="http://schemas.openxmlformats.org/officeDocument/2006/relationships/printerSettings" Target="../printerSettings/printerSettings369.bin"/><Relationship Id="rId16" Type="http://schemas.openxmlformats.org/officeDocument/2006/relationships/printerSettings" Target="../printerSettings/printerSettings383.bin"/><Relationship Id="rId20" Type="http://schemas.openxmlformats.org/officeDocument/2006/relationships/printerSettings" Target="../printerSettings/printerSettings387.bin"/><Relationship Id="rId29" Type="http://schemas.openxmlformats.org/officeDocument/2006/relationships/printerSettings" Target="../printerSettings/printerSettings396.bin"/><Relationship Id="rId1" Type="http://schemas.openxmlformats.org/officeDocument/2006/relationships/printerSettings" Target="../printerSettings/printerSettings368.bin"/><Relationship Id="rId6" Type="http://schemas.openxmlformats.org/officeDocument/2006/relationships/printerSettings" Target="../printerSettings/printerSettings373.bin"/><Relationship Id="rId11" Type="http://schemas.openxmlformats.org/officeDocument/2006/relationships/printerSettings" Target="../printerSettings/printerSettings378.bin"/><Relationship Id="rId24" Type="http://schemas.openxmlformats.org/officeDocument/2006/relationships/printerSettings" Target="../printerSettings/printerSettings391.bin"/><Relationship Id="rId5" Type="http://schemas.openxmlformats.org/officeDocument/2006/relationships/printerSettings" Target="../printerSettings/printerSettings372.bin"/><Relationship Id="rId15" Type="http://schemas.openxmlformats.org/officeDocument/2006/relationships/printerSettings" Target="../printerSettings/printerSettings382.bin"/><Relationship Id="rId23" Type="http://schemas.openxmlformats.org/officeDocument/2006/relationships/printerSettings" Target="../printerSettings/printerSettings390.bin"/><Relationship Id="rId28" Type="http://schemas.openxmlformats.org/officeDocument/2006/relationships/printerSettings" Target="../printerSettings/printerSettings395.bin"/><Relationship Id="rId10" Type="http://schemas.openxmlformats.org/officeDocument/2006/relationships/printerSettings" Target="../printerSettings/printerSettings377.bin"/><Relationship Id="rId19" Type="http://schemas.openxmlformats.org/officeDocument/2006/relationships/printerSettings" Target="../printerSettings/printerSettings386.bin"/><Relationship Id="rId4" Type="http://schemas.openxmlformats.org/officeDocument/2006/relationships/printerSettings" Target="../printerSettings/printerSettings371.bin"/><Relationship Id="rId9" Type="http://schemas.openxmlformats.org/officeDocument/2006/relationships/printerSettings" Target="../printerSettings/printerSettings376.bin"/><Relationship Id="rId14" Type="http://schemas.openxmlformats.org/officeDocument/2006/relationships/printerSettings" Target="../printerSettings/printerSettings381.bin"/><Relationship Id="rId22" Type="http://schemas.openxmlformats.org/officeDocument/2006/relationships/printerSettings" Target="../printerSettings/printerSettings389.bin"/><Relationship Id="rId27" Type="http://schemas.openxmlformats.org/officeDocument/2006/relationships/printerSettings" Target="../printerSettings/printerSettings394.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18" Type="http://schemas.openxmlformats.org/officeDocument/2006/relationships/printerSettings" Target="../printerSettings/printerSettings443.bin"/><Relationship Id="rId26" Type="http://schemas.openxmlformats.org/officeDocument/2006/relationships/printerSettings" Target="../printerSettings/printerSettings451.bin"/><Relationship Id="rId3" Type="http://schemas.openxmlformats.org/officeDocument/2006/relationships/printerSettings" Target="../printerSettings/printerSettings428.bin"/><Relationship Id="rId21" Type="http://schemas.openxmlformats.org/officeDocument/2006/relationships/printerSettings" Target="../printerSettings/printerSettings446.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17" Type="http://schemas.openxmlformats.org/officeDocument/2006/relationships/printerSettings" Target="../printerSettings/printerSettings442.bin"/><Relationship Id="rId25" Type="http://schemas.openxmlformats.org/officeDocument/2006/relationships/printerSettings" Target="../printerSettings/printerSettings450.bin"/><Relationship Id="rId2" Type="http://schemas.openxmlformats.org/officeDocument/2006/relationships/printerSettings" Target="../printerSettings/printerSettings427.bin"/><Relationship Id="rId16" Type="http://schemas.openxmlformats.org/officeDocument/2006/relationships/printerSettings" Target="../printerSettings/printerSettings441.bin"/><Relationship Id="rId20" Type="http://schemas.openxmlformats.org/officeDocument/2006/relationships/printerSettings" Target="../printerSettings/printerSettings445.bin"/><Relationship Id="rId29" Type="http://schemas.openxmlformats.org/officeDocument/2006/relationships/printerSettings" Target="../printerSettings/printerSettings454.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24" Type="http://schemas.openxmlformats.org/officeDocument/2006/relationships/printerSettings" Target="../printerSettings/printerSettings449.bin"/><Relationship Id="rId5" Type="http://schemas.openxmlformats.org/officeDocument/2006/relationships/printerSettings" Target="../printerSettings/printerSettings430.bin"/><Relationship Id="rId15" Type="http://schemas.openxmlformats.org/officeDocument/2006/relationships/printerSettings" Target="../printerSettings/printerSettings440.bin"/><Relationship Id="rId23" Type="http://schemas.openxmlformats.org/officeDocument/2006/relationships/printerSettings" Target="../printerSettings/printerSettings448.bin"/><Relationship Id="rId28" Type="http://schemas.openxmlformats.org/officeDocument/2006/relationships/printerSettings" Target="../printerSettings/printerSettings453.bin"/><Relationship Id="rId10" Type="http://schemas.openxmlformats.org/officeDocument/2006/relationships/printerSettings" Target="../printerSettings/printerSettings435.bin"/><Relationship Id="rId19" Type="http://schemas.openxmlformats.org/officeDocument/2006/relationships/printerSettings" Target="../printerSettings/printerSettings444.bin"/><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printerSettings" Target="../printerSettings/printerSettings439.bin"/><Relationship Id="rId22" Type="http://schemas.openxmlformats.org/officeDocument/2006/relationships/printerSettings" Target="../printerSettings/printerSettings447.bin"/><Relationship Id="rId27" Type="http://schemas.openxmlformats.org/officeDocument/2006/relationships/printerSettings" Target="../printerSettings/printerSettings45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26" Type="http://schemas.openxmlformats.org/officeDocument/2006/relationships/printerSettings" Target="../printerSettings/printerSettings59.bin"/><Relationship Id="rId3" Type="http://schemas.openxmlformats.org/officeDocument/2006/relationships/printerSettings" Target="../printerSettings/printerSettings36.bin"/><Relationship Id="rId21" Type="http://schemas.openxmlformats.org/officeDocument/2006/relationships/printerSettings" Target="../printerSettings/printerSettings54.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5" Type="http://schemas.openxmlformats.org/officeDocument/2006/relationships/printerSettings" Target="../printerSettings/printerSettings58.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20" Type="http://schemas.openxmlformats.org/officeDocument/2006/relationships/printerSettings" Target="../printerSettings/printerSettings53.bin"/><Relationship Id="rId29" Type="http://schemas.openxmlformats.org/officeDocument/2006/relationships/printerSettings" Target="../printerSettings/printerSettings62.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24" Type="http://schemas.openxmlformats.org/officeDocument/2006/relationships/printerSettings" Target="../printerSettings/printerSettings57.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23" Type="http://schemas.openxmlformats.org/officeDocument/2006/relationships/printerSettings" Target="../printerSettings/printerSettings56.bin"/><Relationship Id="rId28" Type="http://schemas.openxmlformats.org/officeDocument/2006/relationships/printerSettings" Target="../printerSettings/printerSettings61.bin"/><Relationship Id="rId10" Type="http://schemas.openxmlformats.org/officeDocument/2006/relationships/printerSettings" Target="../printerSettings/printerSettings43.bin"/><Relationship Id="rId19" Type="http://schemas.openxmlformats.org/officeDocument/2006/relationships/printerSettings" Target="../printerSettings/printerSettings52.bin"/><Relationship Id="rId31" Type="http://schemas.openxmlformats.org/officeDocument/2006/relationships/comments" Target="../comments1.xml"/><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 Id="rId22" Type="http://schemas.openxmlformats.org/officeDocument/2006/relationships/printerSettings" Target="../printerSettings/printerSettings55.bin"/><Relationship Id="rId27" Type="http://schemas.openxmlformats.org/officeDocument/2006/relationships/printerSettings" Target="../printerSettings/printerSettings60.bin"/><Relationship Id="rId30"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0.bin"/><Relationship Id="rId13" Type="http://schemas.openxmlformats.org/officeDocument/2006/relationships/printerSettings" Target="../printerSettings/printerSettings75.bin"/><Relationship Id="rId18" Type="http://schemas.openxmlformats.org/officeDocument/2006/relationships/printerSettings" Target="../printerSettings/printerSettings80.bin"/><Relationship Id="rId26" Type="http://schemas.openxmlformats.org/officeDocument/2006/relationships/printerSettings" Target="../printerSettings/printerSettings88.bin"/><Relationship Id="rId3" Type="http://schemas.openxmlformats.org/officeDocument/2006/relationships/printerSettings" Target="../printerSettings/printerSettings65.bin"/><Relationship Id="rId21" Type="http://schemas.openxmlformats.org/officeDocument/2006/relationships/printerSettings" Target="../printerSettings/printerSettings83.bin"/><Relationship Id="rId7" Type="http://schemas.openxmlformats.org/officeDocument/2006/relationships/printerSettings" Target="../printerSettings/printerSettings69.bin"/><Relationship Id="rId12" Type="http://schemas.openxmlformats.org/officeDocument/2006/relationships/printerSettings" Target="../printerSettings/printerSettings74.bin"/><Relationship Id="rId17" Type="http://schemas.openxmlformats.org/officeDocument/2006/relationships/printerSettings" Target="../printerSettings/printerSettings79.bin"/><Relationship Id="rId25" Type="http://schemas.openxmlformats.org/officeDocument/2006/relationships/printerSettings" Target="../printerSettings/printerSettings87.bin"/><Relationship Id="rId2" Type="http://schemas.openxmlformats.org/officeDocument/2006/relationships/printerSettings" Target="../printerSettings/printerSettings64.bin"/><Relationship Id="rId16" Type="http://schemas.openxmlformats.org/officeDocument/2006/relationships/printerSettings" Target="../printerSettings/printerSettings78.bin"/><Relationship Id="rId20" Type="http://schemas.openxmlformats.org/officeDocument/2006/relationships/printerSettings" Target="../printerSettings/printerSettings82.bin"/><Relationship Id="rId29" Type="http://schemas.openxmlformats.org/officeDocument/2006/relationships/printerSettings" Target="../printerSettings/printerSettings91.bin"/><Relationship Id="rId1" Type="http://schemas.openxmlformats.org/officeDocument/2006/relationships/printerSettings" Target="../printerSettings/printerSettings63.bin"/><Relationship Id="rId6" Type="http://schemas.openxmlformats.org/officeDocument/2006/relationships/printerSettings" Target="../printerSettings/printerSettings68.bin"/><Relationship Id="rId11" Type="http://schemas.openxmlformats.org/officeDocument/2006/relationships/printerSettings" Target="../printerSettings/printerSettings73.bin"/><Relationship Id="rId24" Type="http://schemas.openxmlformats.org/officeDocument/2006/relationships/printerSettings" Target="../printerSettings/printerSettings86.bin"/><Relationship Id="rId5" Type="http://schemas.openxmlformats.org/officeDocument/2006/relationships/printerSettings" Target="../printerSettings/printerSettings67.bin"/><Relationship Id="rId15" Type="http://schemas.openxmlformats.org/officeDocument/2006/relationships/printerSettings" Target="../printerSettings/printerSettings77.bin"/><Relationship Id="rId23" Type="http://schemas.openxmlformats.org/officeDocument/2006/relationships/printerSettings" Target="../printerSettings/printerSettings85.bin"/><Relationship Id="rId28" Type="http://schemas.openxmlformats.org/officeDocument/2006/relationships/printerSettings" Target="../printerSettings/printerSettings90.bin"/><Relationship Id="rId10" Type="http://schemas.openxmlformats.org/officeDocument/2006/relationships/printerSettings" Target="../printerSettings/printerSettings72.bin"/><Relationship Id="rId19" Type="http://schemas.openxmlformats.org/officeDocument/2006/relationships/printerSettings" Target="../printerSettings/printerSettings81.bin"/><Relationship Id="rId4" Type="http://schemas.openxmlformats.org/officeDocument/2006/relationships/printerSettings" Target="../printerSettings/printerSettings66.bin"/><Relationship Id="rId9" Type="http://schemas.openxmlformats.org/officeDocument/2006/relationships/printerSettings" Target="../printerSettings/printerSettings71.bin"/><Relationship Id="rId14" Type="http://schemas.openxmlformats.org/officeDocument/2006/relationships/printerSettings" Target="../printerSettings/printerSettings76.bin"/><Relationship Id="rId22" Type="http://schemas.openxmlformats.org/officeDocument/2006/relationships/printerSettings" Target="../printerSettings/printerSettings84.bin"/><Relationship Id="rId27" Type="http://schemas.openxmlformats.org/officeDocument/2006/relationships/printerSettings" Target="../printerSettings/printerSettings89.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99.bin"/><Relationship Id="rId13" Type="http://schemas.openxmlformats.org/officeDocument/2006/relationships/printerSettings" Target="../printerSettings/printerSettings104.bin"/><Relationship Id="rId18" Type="http://schemas.openxmlformats.org/officeDocument/2006/relationships/printerSettings" Target="../printerSettings/printerSettings109.bin"/><Relationship Id="rId26" Type="http://schemas.openxmlformats.org/officeDocument/2006/relationships/printerSettings" Target="../printerSettings/printerSettings117.bin"/><Relationship Id="rId3" Type="http://schemas.openxmlformats.org/officeDocument/2006/relationships/printerSettings" Target="../printerSettings/printerSettings94.bin"/><Relationship Id="rId21" Type="http://schemas.openxmlformats.org/officeDocument/2006/relationships/printerSettings" Target="../printerSettings/printerSettings112.bin"/><Relationship Id="rId7" Type="http://schemas.openxmlformats.org/officeDocument/2006/relationships/printerSettings" Target="../printerSettings/printerSettings98.bin"/><Relationship Id="rId12" Type="http://schemas.openxmlformats.org/officeDocument/2006/relationships/printerSettings" Target="../printerSettings/printerSettings103.bin"/><Relationship Id="rId17" Type="http://schemas.openxmlformats.org/officeDocument/2006/relationships/printerSettings" Target="../printerSettings/printerSettings108.bin"/><Relationship Id="rId25" Type="http://schemas.openxmlformats.org/officeDocument/2006/relationships/printerSettings" Target="../printerSettings/printerSettings116.bin"/><Relationship Id="rId2" Type="http://schemas.openxmlformats.org/officeDocument/2006/relationships/printerSettings" Target="../printerSettings/printerSettings93.bin"/><Relationship Id="rId16" Type="http://schemas.openxmlformats.org/officeDocument/2006/relationships/printerSettings" Target="../printerSettings/printerSettings107.bin"/><Relationship Id="rId20" Type="http://schemas.openxmlformats.org/officeDocument/2006/relationships/printerSettings" Target="../printerSettings/printerSettings111.bin"/><Relationship Id="rId29" Type="http://schemas.openxmlformats.org/officeDocument/2006/relationships/printerSettings" Target="../printerSettings/printerSettings120.bin"/><Relationship Id="rId1" Type="http://schemas.openxmlformats.org/officeDocument/2006/relationships/printerSettings" Target="../printerSettings/printerSettings92.bin"/><Relationship Id="rId6" Type="http://schemas.openxmlformats.org/officeDocument/2006/relationships/printerSettings" Target="../printerSettings/printerSettings97.bin"/><Relationship Id="rId11" Type="http://schemas.openxmlformats.org/officeDocument/2006/relationships/printerSettings" Target="../printerSettings/printerSettings102.bin"/><Relationship Id="rId24" Type="http://schemas.openxmlformats.org/officeDocument/2006/relationships/printerSettings" Target="../printerSettings/printerSettings115.bin"/><Relationship Id="rId5" Type="http://schemas.openxmlformats.org/officeDocument/2006/relationships/printerSettings" Target="../printerSettings/printerSettings96.bin"/><Relationship Id="rId15" Type="http://schemas.openxmlformats.org/officeDocument/2006/relationships/printerSettings" Target="../printerSettings/printerSettings106.bin"/><Relationship Id="rId23" Type="http://schemas.openxmlformats.org/officeDocument/2006/relationships/printerSettings" Target="../printerSettings/printerSettings114.bin"/><Relationship Id="rId28" Type="http://schemas.openxmlformats.org/officeDocument/2006/relationships/printerSettings" Target="../printerSettings/printerSettings119.bin"/><Relationship Id="rId10" Type="http://schemas.openxmlformats.org/officeDocument/2006/relationships/printerSettings" Target="../printerSettings/printerSettings101.bin"/><Relationship Id="rId19" Type="http://schemas.openxmlformats.org/officeDocument/2006/relationships/printerSettings" Target="../printerSettings/printerSettings110.bin"/><Relationship Id="rId4" Type="http://schemas.openxmlformats.org/officeDocument/2006/relationships/printerSettings" Target="../printerSettings/printerSettings95.bin"/><Relationship Id="rId9" Type="http://schemas.openxmlformats.org/officeDocument/2006/relationships/printerSettings" Target="../printerSettings/printerSettings100.bin"/><Relationship Id="rId14" Type="http://schemas.openxmlformats.org/officeDocument/2006/relationships/printerSettings" Target="../printerSettings/printerSettings105.bin"/><Relationship Id="rId22" Type="http://schemas.openxmlformats.org/officeDocument/2006/relationships/printerSettings" Target="../printerSettings/printerSettings113.bin"/><Relationship Id="rId27" Type="http://schemas.openxmlformats.org/officeDocument/2006/relationships/printerSettings" Target="../printerSettings/printerSettings11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28.bin"/><Relationship Id="rId13" Type="http://schemas.openxmlformats.org/officeDocument/2006/relationships/printerSettings" Target="../printerSettings/printerSettings133.bin"/><Relationship Id="rId18" Type="http://schemas.openxmlformats.org/officeDocument/2006/relationships/printerSettings" Target="../printerSettings/printerSettings138.bin"/><Relationship Id="rId26" Type="http://schemas.openxmlformats.org/officeDocument/2006/relationships/printerSettings" Target="../printerSettings/printerSettings146.bin"/><Relationship Id="rId3" Type="http://schemas.openxmlformats.org/officeDocument/2006/relationships/printerSettings" Target="../printerSettings/printerSettings123.bin"/><Relationship Id="rId21" Type="http://schemas.openxmlformats.org/officeDocument/2006/relationships/printerSettings" Target="../printerSettings/printerSettings141.bin"/><Relationship Id="rId7" Type="http://schemas.openxmlformats.org/officeDocument/2006/relationships/printerSettings" Target="../printerSettings/printerSettings127.bin"/><Relationship Id="rId12" Type="http://schemas.openxmlformats.org/officeDocument/2006/relationships/printerSettings" Target="../printerSettings/printerSettings132.bin"/><Relationship Id="rId17" Type="http://schemas.openxmlformats.org/officeDocument/2006/relationships/printerSettings" Target="../printerSettings/printerSettings137.bin"/><Relationship Id="rId25" Type="http://schemas.openxmlformats.org/officeDocument/2006/relationships/printerSettings" Target="../printerSettings/printerSettings145.bin"/><Relationship Id="rId2" Type="http://schemas.openxmlformats.org/officeDocument/2006/relationships/printerSettings" Target="../printerSettings/printerSettings122.bin"/><Relationship Id="rId16" Type="http://schemas.openxmlformats.org/officeDocument/2006/relationships/printerSettings" Target="../printerSettings/printerSettings136.bin"/><Relationship Id="rId20" Type="http://schemas.openxmlformats.org/officeDocument/2006/relationships/printerSettings" Target="../printerSettings/printerSettings140.bin"/><Relationship Id="rId29" Type="http://schemas.openxmlformats.org/officeDocument/2006/relationships/printerSettings" Target="../printerSettings/printerSettings149.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11" Type="http://schemas.openxmlformats.org/officeDocument/2006/relationships/printerSettings" Target="../printerSettings/printerSettings131.bin"/><Relationship Id="rId24" Type="http://schemas.openxmlformats.org/officeDocument/2006/relationships/printerSettings" Target="../printerSettings/printerSettings144.bin"/><Relationship Id="rId5" Type="http://schemas.openxmlformats.org/officeDocument/2006/relationships/printerSettings" Target="../printerSettings/printerSettings125.bin"/><Relationship Id="rId15" Type="http://schemas.openxmlformats.org/officeDocument/2006/relationships/printerSettings" Target="../printerSettings/printerSettings135.bin"/><Relationship Id="rId23" Type="http://schemas.openxmlformats.org/officeDocument/2006/relationships/printerSettings" Target="../printerSettings/printerSettings143.bin"/><Relationship Id="rId28" Type="http://schemas.openxmlformats.org/officeDocument/2006/relationships/printerSettings" Target="../printerSettings/printerSettings148.bin"/><Relationship Id="rId10" Type="http://schemas.openxmlformats.org/officeDocument/2006/relationships/printerSettings" Target="../printerSettings/printerSettings130.bin"/><Relationship Id="rId19" Type="http://schemas.openxmlformats.org/officeDocument/2006/relationships/printerSettings" Target="../printerSettings/printerSettings139.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 Id="rId14" Type="http://schemas.openxmlformats.org/officeDocument/2006/relationships/printerSettings" Target="../printerSettings/printerSettings134.bin"/><Relationship Id="rId22" Type="http://schemas.openxmlformats.org/officeDocument/2006/relationships/printerSettings" Target="../printerSettings/printerSettings142.bin"/><Relationship Id="rId27" Type="http://schemas.openxmlformats.org/officeDocument/2006/relationships/printerSettings" Target="../printerSettings/printerSettings14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58.bin"/><Relationship Id="rId13" Type="http://schemas.openxmlformats.org/officeDocument/2006/relationships/printerSettings" Target="../printerSettings/printerSettings163.bin"/><Relationship Id="rId18" Type="http://schemas.openxmlformats.org/officeDocument/2006/relationships/printerSettings" Target="../printerSettings/printerSettings168.bin"/><Relationship Id="rId26" Type="http://schemas.openxmlformats.org/officeDocument/2006/relationships/printerSettings" Target="../printerSettings/printerSettings176.bin"/><Relationship Id="rId3" Type="http://schemas.openxmlformats.org/officeDocument/2006/relationships/printerSettings" Target="../printerSettings/printerSettings153.bin"/><Relationship Id="rId21" Type="http://schemas.openxmlformats.org/officeDocument/2006/relationships/printerSettings" Target="../printerSettings/printerSettings171.bin"/><Relationship Id="rId7" Type="http://schemas.openxmlformats.org/officeDocument/2006/relationships/printerSettings" Target="../printerSettings/printerSettings157.bin"/><Relationship Id="rId12" Type="http://schemas.openxmlformats.org/officeDocument/2006/relationships/printerSettings" Target="../printerSettings/printerSettings162.bin"/><Relationship Id="rId17" Type="http://schemas.openxmlformats.org/officeDocument/2006/relationships/printerSettings" Target="../printerSettings/printerSettings167.bin"/><Relationship Id="rId25" Type="http://schemas.openxmlformats.org/officeDocument/2006/relationships/printerSettings" Target="../printerSettings/printerSettings175.bin"/><Relationship Id="rId2" Type="http://schemas.openxmlformats.org/officeDocument/2006/relationships/printerSettings" Target="../printerSettings/printerSettings152.bin"/><Relationship Id="rId16" Type="http://schemas.openxmlformats.org/officeDocument/2006/relationships/printerSettings" Target="../printerSettings/printerSettings166.bin"/><Relationship Id="rId20" Type="http://schemas.openxmlformats.org/officeDocument/2006/relationships/printerSettings" Target="../printerSettings/printerSettings170.bin"/><Relationship Id="rId29" Type="http://schemas.openxmlformats.org/officeDocument/2006/relationships/printerSettings" Target="../printerSettings/printerSettings179.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11" Type="http://schemas.openxmlformats.org/officeDocument/2006/relationships/printerSettings" Target="../printerSettings/printerSettings161.bin"/><Relationship Id="rId24" Type="http://schemas.openxmlformats.org/officeDocument/2006/relationships/printerSettings" Target="../printerSettings/printerSettings174.bin"/><Relationship Id="rId5" Type="http://schemas.openxmlformats.org/officeDocument/2006/relationships/printerSettings" Target="../printerSettings/printerSettings155.bin"/><Relationship Id="rId15" Type="http://schemas.openxmlformats.org/officeDocument/2006/relationships/printerSettings" Target="../printerSettings/printerSettings165.bin"/><Relationship Id="rId23" Type="http://schemas.openxmlformats.org/officeDocument/2006/relationships/printerSettings" Target="../printerSettings/printerSettings173.bin"/><Relationship Id="rId28" Type="http://schemas.openxmlformats.org/officeDocument/2006/relationships/printerSettings" Target="../printerSettings/printerSettings178.bin"/><Relationship Id="rId10" Type="http://schemas.openxmlformats.org/officeDocument/2006/relationships/printerSettings" Target="../printerSettings/printerSettings160.bin"/><Relationship Id="rId19" Type="http://schemas.openxmlformats.org/officeDocument/2006/relationships/printerSettings" Target="../printerSettings/printerSettings169.bin"/><Relationship Id="rId4" Type="http://schemas.openxmlformats.org/officeDocument/2006/relationships/printerSettings" Target="../printerSettings/printerSettings154.bin"/><Relationship Id="rId9" Type="http://schemas.openxmlformats.org/officeDocument/2006/relationships/printerSettings" Target="../printerSettings/printerSettings159.bin"/><Relationship Id="rId14" Type="http://schemas.openxmlformats.org/officeDocument/2006/relationships/printerSettings" Target="../printerSettings/printerSettings164.bin"/><Relationship Id="rId22" Type="http://schemas.openxmlformats.org/officeDocument/2006/relationships/printerSettings" Target="../printerSettings/printerSettings172.bin"/><Relationship Id="rId27" Type="http://schemas.openxmlformats.org/officeDocument/2006/relationships/printerSettings" Target="../printerSettings/printerSettings17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87.bin"/><Relationship Id="rId13" Type="http://schemas.openxmlformats.org/officeDocument/2006/relationships/printerSettings" Target="../printerSettings/printerSettings192.bin"/><Relationship Id="rId18" Type="http://schemas.openxmlformats.org/officeDocument/2006/relationships/printerSettings" Target="../printerSettings/printerSettings197.bin"/><Relationship Id="rId26" Type="http://schemas.openxmlformats.org/officeDocument/2006/relationships/printerSettings" Target="../printerSettings/printerSettings205.bin"/><Relationship Id="rId3" Type="http://schemas.openxmlformats.org/officeDocument/2006/relationships/printerSettings" Target="../printerSettings/printerSettings182.bin"/><Relationship Id="rId21" Type="http://schemas.openxmlformats.org/officeDocument/2006/relationships/printerSettings" Target="../printerSettings/printerSettings200.bin"/><Relationship Id="rId7" Type="http://schemas.openxmlformats.org/officeDocument/2006/relationships/printerSettings" Target="../printerSettings/printerSettings186.bin"/><Relationship Id="rId12" Type="http://schemas.openxmlformats.org/officeDocument/2006/relationships/printerSettings" Target="../printerSettings/printerSettings191.bin"/><Relationship Id="rId17" Type="http://schemas.openxmlformats.org/officeDocument/2006/relationships/printerSettings" Target="../printerSettings/printerSettings196.bin"/><Relationship Id="rId25" Type="http://schemas.openxmlformats.org/officeDocument/2006/relationships/printerSettings" Target="../printerSettings/printerSettings204.bin"/><Relationship Id="rId2" Type="http://schemas.openxmlformats.org/officeDocument/2006/relationships/printerSettings" Target="../printerSettings/printerSettings181.bin"/><Relationship Id="rId16" Type="http://schemas.openxmlformats.org/officeDocument/2006/relationships/printerSettings" Target="../printerSettings/printerSettings195.bin"/><Relationship Id="rId20" Type="http://schemas.openxmlformats.org/officeDocument/2006/relationships/printerSettings" Target="../printerSettings/printerSettings199.bin"/><Relationship Id="rId29" Type="http://schemas.openxmlformats.org/officeDocument/2006/relationships/printerSettings" Target="../printerSettings/printerSettings208.bin"/><Relationship Id="rId1" Type="http://schemas.openxmlformats.org/officeDocument/2006/relationships/printerSettings" Target="../printerSettings/printerSettings180.bin"/><Relationship Id="rId6" Type="http://schemas.openxmlformats.org/officeDocument/2006/relationships/printerSettings" Target="../printerSettings/printerSettings185.bin"/><Relationship Id="rId11" Type="http://schemas.openxmlformats.org/officeDocument/2006/relationships/printerSettings" Target="../printerSettings/printerSettings190.bin"/><Relationship Id="rId24" Type="http://schemas.openxmlformats.org/officeDocument/2006/relationships/printerSettings" Target="../printerSettings/printerSettings203.bin"/><Relationship Id="rId5" Type="http://schemas.openxmlformats.org/officeDocument/2006/relationships/printerSettings" Target="../printerSettings/printerSettings184.bin"/><Relationship Id="rId15" Type="http://schemas.openxmlformats.org/officeDocument/2006/relationships/printerSettings" Target="../printerSettings/printerSettings194.bin"/><Relationship Id="rId23" Type="http://schemas.openxmlformats.org/officeDocument/2006/relationships/printerSettings" Target="../printerSettings/printerSettings202.bin"/><Relationship Id="rId28" Type="http://schemas.openxmlformats.org/officeDocument/2006/relationships/printerSettings" Target="../printerSettings/printerSettings207.bin"/><Relationship Id="rId10" Type="http://schemas.openxmlformats.org/officeDocument/2006/relationships/printerSettings" Target="../printerSettings/printerSettings189.bin"/><Relationship Id="rId19" Type="http://schemas.openxmlformats.org/officeDocument/2006/relationships/printerSettings" Target="../printerSettings/printerSettings198.bin"/><Relationship Id="rId4" Type="http://schemas.openxmlformats.org/officeDocument/2006/relationships/printerSettings" Target="../printerSettings/printerSettings183.bin"/><Relationship Id="rId9" Type="http://schemas.openxmlformats.org/officeDocument/2006/relationships/printerSettings" Target="../printerSettings/printerSettings188.bin"/><Relationship Id="rId14" Type="http://schemas.openxmlformats.org/officeDocument/2006/relationships/printerSettings" Target="../printerSettings/printerSettings193.bin"/><Relationship Id="rId22" Type="http://schemas.openxmlformats.org/officeDocument/2006/relationships/printerSettings" Target="../printerSettings/printerSettings201.bin"/><Relationship Id="rId27" Type="http://schemas.openxmlformats.org/officeDocument/2006/relationships/printerSettings" Target="../printerSettings/printerSettings20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11"/>
  <sheetViews>
    <sheetView zoomScale="80" zoomScaleNormal="80" workbookViewId="0">
      <pane xSplit="6" ySplit="7" topLeftCell="G95" activePane="bottomRight" state="frozen"/>
      <selection pane="topRight" activeCell="G1" sqref="G1"/>
      <selection pane="bottomLeft" activeCell="A8" sqref="A8"/>
      <selection pane="bottomRight" activeCell="Q19" sqref="Q19"/>
    </sheetView>
  </sheetViews>
  <sheetFormatPr defaultColWidth="9.140625" defaultRowHeight="15" x14ac:dyDescent="0.25"/>
  <cols>
    <col min="1" max="1" width="6.5703125" style="8" customWidth="1"/>
    <col min="2" max="2" width="41.7109375" style="8" customWidth="1"/>
    <col min="3" max="3" width="20.85546875" style="9" customWidth="1"/>
    <col min="4" max="4" width="18" style="130" customWidth="1"/>
    <col min="5" max="5" width="14.7109375" style="8" customWidth="1"/>
    <col min="6" max="6" width="15" style="8" customWidth="1"/>
    <col min="7" max="7" width="16.14062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7109375" style="8" customWidth="1"/>
    <col min="16" max="16" width="15" style="8" customWidth="1"/>
    <col min="17" max="17" width="13.85546875" style="8" customWidth="1"/>
    <col min="18" max="18" width="14.42578125" style="8" customWidth="1"/>
    <col min="19" max="19" width="14.140625" style="8" customWidth="1"/>
    <col min="20" max="20" width="13" style="8" customWidth="1"/>
    <col min="21"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5" style="8" customWidth="1"/>
    <col min="33" max="33" width="11.5703125" style="8" customWidth="1"/>
    <col min="34" max="34" width="46.1406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27" customHeight="1" x14ac:dyDescent="0.25">
      <c r="A3" s="55"/>
      <c r="B3" s="55"/>
      <c r="C3" s="513" t="s">
        <v>237</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20" t="s">
        <v>30</v>
      </c>
      <c r="D4" s="523"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21"/>
      <c r="D5" s="524"/>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22"/>
      <c r="D6" s="121">
        <v>2025</v>
      </c>
      <c r="E6" s="39">
        <v>45962</v>
      </c>
      <c r="F6" s="39">
        <v>45962</v>
      </c>
      <c r="G6" s="39">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530"/>
      <c r="B8" s="533" t="s">
        <v>23</v>
      </c>
      <c r="C8" s="123" t="s">
        <v>20</v>
      </c>
      <c r="D8" s="70">
        <f>D9+D10+D12+D11</f>
        <v>5295737.1496099997</v>
      </c>
      <c r="E8" s="70">
        <f>E9+E10+E12+E11</f>
        <v>4211507.1925400002</v>
      </c>
      <c r="F8" s="70">
        <f t="shared" ref="F8:G8" si="0">F9+F10+F12+F11</f>
        <v>3525942.2140210001</v>
      </c>
      <c r="G8" s="70">
        <f t="shared" si="0"/>
        <v>3525942.2140210001</v>
      </c>
      <c r="H8" s="70">
        <f>IFERROR(G8/D8*100,0)</f>
        <v>66.580763251829168</v>
      </c>
      <c r="I8" s="70">
        <f>IFERROR(G8/E8*100,0)</f>
        <v>83.721623941819047</v>
      </c>
      <c r="J8" s="71">
        <f>J9+J10+J12+J11</f>
        <v>337368.783</v>
      </c>
      <c r="K8" s="71">
        <f t="shared" ref="K8:AG8" si="1">K9+K10+K12+K11</f>
        <v>135134.304</v>
      </c>
      <c r="L8" s="71">
        <f t="shared" si="1"/>
        <v>463463.68300000002</v>
      </c>
      <c r="M8" s="71">
        <f t="shared" si="1"/>
        <v>174827.71</v>
      </c>
      <c r="N8" s="71">
        <f t="shared" si="1"/>
        <v>394924.72300000011</v>
      </c>
      <c r="O8" s="71">
        <f t="shared" si="1"/>
        <v>492920.78047000006</v>
      </c>
      <c r="P8" s="71">
        <f t="shared" si="1"/>
        <v>368566.91700000002</v>
      </c>
      <c r="Q8" s="71">
        <f t="shared" si="1"/>
        <v>460384.63</v>
      </c>
      <c r="R8" s="71">
        <f t="shared" si="1"/>
        <v>291167.34000000003</v>
      </c>
      <c r="S8" s="71">
        <f t="shared" si="1"/>
        <v>338916.50999999995</v>
      </c>
      <c r="T8" s="71">
        <f t="shared" si="1"/>
        <v>392513.10014</v>
      </c>
      <c r="U8" s="71">
        <f t="shared" si="1"/>
        <v>562828.04314099997</v>
      </c>
      <c r="V8" s="71">
        <f t="shared" si="1"/>
        <v>559888.04827000003</v>
      </c>
      <c r="W8" s="71">
        <f t="shared" si="1"/>
        <v>554335.06000000006</v>
      </c>
      <c r="X8" s="71">
        <f t="shared" si="1"/>
        <v>365830.97390999994</v>
      </c>
      <c r="Y8" s="71">
        <f t="shared" si="1"/>
        <v>216135.01</v>
      </c>
      <c r="Z8" s="71">
        <f t="shared" si="1"/>
        <v>566645.27800000005</v>
      </c>
      <c r="AA8" s="71">
        <f t="shared" si="1"/>
        <v>331554.67641000001</v>
      </c>
      <c r="AB8" s="71">
        <f t="shared" si="1"/>
        <v>471138.34621999995</v>
      </c>
      <c r="AC8" s="71">
        <f t="shared" si="1"/>
        <v>258905.49</v>
      </c>
      <c r="AD8" s="71">
        <f t="shared" si="1"/>
        <v>384572.41707000002</v>
      </c>
      <c r="AE8" s="71">
        <f t="shared" si="1"/>
        <v>0</v>
      </c>
      <c r="AF8" s="71">
        <f t="shared" si="1"/>
        <v>699657.54</v>
      </c>
      <c r="AG8" s="71">
        <f t="shared" si="1"/>
        <v>0</v>
      </c>
      <c r="AH8" s="72"/>
    </row>
    <row r="9" spans="1:35" s="26" customFormat="1" ht="26.25" customHeight="1" x14ac:dyDescent="0.25">
      <c r="A9" s="531"/>
      <c r="B9" s="534"/>
      <c r="C9" s="124" t="s">
        <v>52</v>
      </c>
      <c r="D9" s="74">
        <f>J9+L9+N9+P9+R9+T9+V9+X9+Z9+AB9+AD9+AF9</f>
        <v>144798.79300000001</v>
      </c>
      <c r="E9" s="74">
        <f>J9+L9+N9+P9+R9+T9+V9+X9+Z9+AB9</f>
        <v>119204.077</v>
      </c>
      <c r="F9" s="74">
        <f>G9</f>
        <v>105113.96000000002</v>
      </c>
      <c r="G9" s="74">
        <f>K9+M9+O9+Q9+S9+U9+W9+Y9+AA9+AC9+AE9+AG9</f>
        <v>105113.96000000002</v>
      </c>
      <c r="H9" s="74">
        <f t="shared" ref="H9" si="2">IFERROR(G9/D9*100,0)</f>
        <v>72.593118921923633</v>
      </c>
      <c r="I9" s="74">
        <f t="shared" ref="I9" si="3">IFERROR(G9/E9*100,0)</f>
        <v>88.179836332275798</v>
      </c>
      <c r="J9" s="74">
        <f>J15+J20+J34</f>
        <v>9112.9679999999989</v>
      </c>
      <c r="K9" s="74">
        <f t="shared" ref="K9:AG9" si="4">K15+K20+K34</f>
        <v>0</v>
      </c>
      <c r="L9" s="74">
        <f t="shared" si="4"/>
        <v>12025.319999999998</v>
      </c>
      <c r="M9" s="74">
        <f t="shared" si="4"/>
        <v>2950.25</v>
      </c>
      <c r="N9" s="74">
        <f t="shared" si="4"/>
        <v>11695.157999999999</v>
      </c>
      <c r="O9" s="74">
        <f t="shared" si="4"/>
        <v>22355.949999999997</v>
      </c>
      <c r="P9" s="74">
        <f t="shared" si="4"/>
        <v>11814.125</v>
      </c>
      <c r="Q9" s="74">
        <f t="shared" si="4"/>
        <v>9985.4900000000016</v>
      </c>
      <c r="R9" s="74">
        <f t="shared" si="4"/>
        <v>36599.606</v>
      </c>
      <c r="S9" s="74">
        <f t="shared" si="4"/>
        <v>40719.909999999996</v>
      </c>
      <c r="T9" s="74">
        <f t="shared" si="4"/>
        <v>10611.272999999999</v>
      </c>
      <c r="U9" s="74">
        <f t="shared" si="4"/>
        <v>8941.92</v>
      </c>
      <c r="V9" s="74">
        <f t="shared" si="4"/>
        <v>1983.8</v>
      </c>
      <c r="W9" s="74">
        <f t="shared" si="4"/>
        <v>1983.8</v>
      </c>
      <c r="X9" s="74">
        <f t="shared" si="4"/>
        <v>5321.4899999999989</v>
      </c>
      <c r="Y9" s="74">
        <f t="shared" si="4"/>
        <v>4048.88</v>
      </c>
      <c r="Z9" s="74">
        <f t="shared" si="4"/>
        <v>7871.4279999999999</v>
      </c>
      <c r="AA9" s="74">
        <f t="shared" si="4"/>
        <v>5859.11</v>
      </c>
      <c r="AB9" s="74">
        <f t="shared" si="4"/>
        <v>12168.909</v>
      </c>
      <c r="AC9" s="74">
        <f t="shared" si="4"/>
        <v>8268.6500000000015</v>
      </c>
      <c r="AD9" s="74">
        <f t="shared" si="4"/>
        <v>11944.182999999999</v>
      </c>
      <c r="AE9" s="74">
        <f t="shared" si="4"/>
        <v>0</v>
      </c>
      <c r="AF9" s="74">
        <f t="shared" si="4"/>
        <v>13650.532999999999</v>
      </c>
      <c r="AG9" s="74">
        <f t="shared" si="4"/>
        <v>0</v>
      </c>
      <c r="AH9" s="75"/>
    </row>
    <row r="10" spans="1:35" s="26" customFormat="1" ht="40.5" customHeight="1" x14ac:dyDescent="0.25">
      <c r="A10" s="531"/>
      <c r="B10" s="534"/>
      <c r="C10" s="124" t="s">
        <v>22</v>
      </c>
      <c r="D10" s="74">
        <f>J10+L10+N10+P10+R10+T10+V10+X10+Z10+AB10+AD10+AF10</f>
        <v>4054181.1825000001</v>
      </c>
      <c r="E10" s="74">
        <f t="shared" ref="E10:E12" si="5">J10+L10+N10+P10+R10+T10+V10+X10+Z10+AB10</f>
        <v>3173568.2240399998</v>
      </c>
      <c r="F10" s="74">
        <f t="shared" ref="F10:F12" si="6">G10</f>
        <v>2631286.819741</v>
      </c>
      <c r="G10" s="74">
        <f t="shared" ref="G10:G12" si="7">K10+M10+O10+Q10+S10+U10+W10+Y10+AA10+AC10+AE10+AG10</f>
        <v>2631286.819741</v>
      </c>
      <c r="H10" s="74">
        <f>IFERROR(G10/D10*100,0)</f>
        <v>64.903039634711732</v>
      </c>
      <c r="I10" s="74">
        <f>IFERROR(G10/E10*100,0)</f>
        <v>82.91256509971393</v>
      </c>
      <c r="J10" s="74">
        <f t="shared" ref="J10:AG10" si="8">J16+J21+J35+J74+J111</f>
        <v>206861.334</v>
      </c>
      <c r="K10" s="74">
        <f t="shared" si="8"/>
        <v>44588.906000000003</v>
      </c>
      <c r="L10" s="74">
        <f t="shared" si="8"/>
        <v>356228.228</v>
      </c>
      <c r="M10" s="74">
        <f t="shared" si="8"/>
        <v>81428.194999999992</v>
      </c>
      <c r="N10" s="74">
        <f t="shared" si="8"/>
        <v>294778.05200000008</v>
      </c>
      <c r="O10" s="74">
        <f t="shared" si="8"/>
        <v>381675.02632</v>
      </c>
      <c r="P10" s="74">
        <f t="shared" si="8"/>
        <v>275560.12200000003</v>
      </c>
      <c r="Q10" s="74">
        <f t="shared" si="8"/>
        <v>368706.49000000005</v>
      </c>
      <c r="R10" s="74">
        <f t="shared" si="8"/>
        <v>165832.946</v>
      </c>
      <c r="S10" s="74">
        <f t="shared" si="8"/>
        <v>215604.12999999998</v>
      </c>
      <c r="T10" s="74">
        <f t="shared" si="8"/>
        <v>284340.00841999997</v>
      </c>
      <c r="U10" s="74">
        <f t="shared" si="8"/>
        <v>464138.35242100002</v>
      </c>
      <c r="V10" s="74">
        <f t="shared" si="8"/>
        <v>468318.23171000002</v>
      </c>
      <c r="W10" s="74">
        <f t="shared" si="8"/>
        <v>467254.35000000003</v>
      </c>
      <c r="X10" s="74">
        <f t="shared" si="8"/>
        <v>256045.32690999997</v>
      </c>
      <c r="Y10" s="74">
        <f t="shared" si="8"/>
        <v>159707.62</v>
      </c>
      <c r="Z10" s="74">
        <f t="shared" si="8"/>
        <v>487937.34700000001</v>
      </c>
      <c r="AA10" s="74">
        <f t="shared" si="8"/>
        <v>289175.75</v>
      </c>
      <c r="AB10" s="74">
        <f t="shared" si="8"/>
        <v>377666.62799999997</v>
      </c>
      <c r="AC10" s="74">
        <f t="shared" si="8"/>
        <v>159008</v>
      </c>
      <c r="AD10" s="74">
        <f t="shared" si="8"/>
        <v>290308.66146000003</v>
      </c>
      <c r="AE10" s="74">
        <f t="shared" si="8"/>
        <v>0</v>
      </c>
      <c r="AF10" s="74">
        <f t="shared" si="8"/>
        <v>590304.29700000002</v>
      </c>
      <c r="AG10" s="74">
        <f t="shared" si="8"/>
        <v>0</v>
      </c>
      <c r="AH10" s="75"/>
    </row>
    <row r="11" spans="1:35" s="26" customFormat="1" ht="40.5" customHeight="1" x14ac:dyDescent="0.25">
      <c r="A11" s="531"/>
      <c r="B11" s="534"/>
      <c r="C11" s="124" t="s">
        <v>21</v>
      </c>
      <c r="D11" s="74">
        <f t="shared" ref="D11:D12" si="9">J11+L11+N11+P11+R11+T11+V11+X11+Z11+AB11+AD11+AF11</f>
        <v>976528.77610999998</v>
      </c>
      <c r="E11" s="74">
        <f t="shared" si="5"/>
        <v>806416.06349999993</v>
      </c>
      <c r="F11" s="74">
        <f t="shared" si="6"/>
        <v>691879.29628000013</v>
      </c>
      <c r="G11" s="74">
        <f t="shared" si="7"/>
        <v>691879.29628000013</v>
      </c>
      <c r="H11" s="74">
        <f>IFERROR(G11/D11*100,0)</f>
        <v>70.850886651400032</v>
      </c>
      <c r="I11" s="74">
        <f>IFERROR(G11/E11*100,0)</f>
        <v>85.79681477041909</v>
      </c>
      <c r="J11" s="74">
        <f t="shared" ref="J11:AG11" si="10">J18+J22+J36+J75+J82+J96+J103+J109</f>
        <v>90032.301000000007</v>
      </c>
      <c r="K11" s="74">
        <f t="shared" si="10"/>
        <v>84826.47600000001</v>
      </c>
      <c r="L11" s="74">
        <f t="shared" si="10"/>
        <v>81318.804999999993</v>
      </c>
      <c r="M11" s="74">
        <f t="shared" si="10"/>
        <v>79233.978999999992</v>
      </c>
      <c r="N11" s="74">
        <f t="shared" si="10"/>
        <v>77552.252000000008</v>
      </c>
      <c r="O11" s="74">
        <f t="shared" si="10"/>
        <v>77614.904150000002</v>
      </c>
      <c r="P11" s="74">
        <f t="shared" si="10"/>
        <v>71488.202000000005</v>
      </c>
      <c r="Q11" s="74">
        <f t="shared" si="10"/>
        <v>71125.59</v>
      </c>
      <c r="R11" s="74">
        <f t="shared" si="10"/>
        <v>79670.115000000005</v>
      </c>
      <c r="S11" s="74">
        <f t="shared" si="10"/>
        <v>73452.739999999991</v>
      </c>
      <c r="T11" s="74">
        <f t="shared" si="10"/>
        <v>89120.140719999996</v>
      </c>
      <c r="U11" s="74">
        <f t="shared" si="10"/>
        <v>83658.630720000001</v>
      </c>
      <c r="V11" s="74">
        <f t="shared" si="10"/>
        <v>83420.544559999995</v>
      </c>
      <c r="W11" s="74">
        <f t="shared" si="10"/>
        <v>80096.91</v>
      </c>
      <c r="X11" s="74">
        <f t="shared" si="10"/>
        <v>98491.84199999999</v>
      </c>
      <c r="Y11" s="74">
        <f t="shared" si="10"/>
        <v>46406.19</v>
      </c>
      <c r="Z11" s="74">
        <f t="shared" si="10"/>
        <v>60903.671999999991</v>
      </c>
      <c r="AA11" s="74">
        <f t="shared" si="10"/>
        <v>29355.74641</v>
      </c>
      <c r="AB11" s="74">
        <f t="shared" si="10"/>
        <v>74418.18922</v>
      </c>
      <c r="AC11" s="74">
        <f t="shared" si="10"/>
        <v>66108.12999999999</v>
      </c>
      <c r="AD11" s="74">
        <f t="shared" si="10"/>
        <v>76329.891610000006</v>
      </c>
      <c r="AE11" s="74">
        <f t="shared" si="10"/>
        <v>0</v>
      </c>
      <c r="AF11" s="74">
        <f t="shared" si="10"/>
        <v>93782.821000000011</v>
      </c>
      <c r="AG11" s="74">
        <f t="shared" si="10"/>
        <v>0</v>
      </c>
      <c r="AH11" s="75"/>
    </row>
    <row r="12" spans="1:35" s="26" customFormat="1" ht="34.5" customHeight="1" x14ac:dyDescent="0.25">
      <c r="A12" s="532"/>
      <c r="B12" s="535"/>
      <c r="C12" s="124" t="s">
        <v>113</v>
      </c>
      <c r="D12" s="74">
        <f t="shared" si="9"/>
        <v>120228.39799999999</v>
      </c>
      <c r="E12" s="74">
        <f t="shared" si="5"/>
        <v>112318.82799999999</v>
      </c>
      <c r="F12" s="74">
        <f t="shared" si="6"/>
        <v>97662.138000000006</v>
      </c>
      <c r="G12" s="74">
        <f t="shared" si="7"/>
        <v>97662.138000000006</v>
      </c>
      <c r="H12" s="74">
        <f>IFERROR(G12/D12*100,0)</f>
        <v>81.23050762100317</v>
      </c>
      <c r="I12" s="74">
        <f>IFERROR(G12/E12*100,0)</f>
        <v>86.950816473975323</v>
      </c>
      <c r="J12" s="74">
        <f t="shared" ref="J12:AG12" si="11">J37+J110</f>
        <v>31362.18</v>
      </c>
      <c r="K12" s="74">
        <f t="shared" si="11"/>
        <v>5718.9219999999996</v>
      </c>
      <c r="L12" s="74">
        <f t="shared" si="11"/>
        <v>13891.33</v>
      </c>
      <c r="M12" s="74">
        <f t="shared" si="11"/>
        <v>11215.286</v>
      </c>
      <c r="N12" s="74">
        <f t="shared" si="11"/>
        <v>10899.261</v>
      </c>
      <c r="O12" s="74">
        <f t="shared" si="11"/>
        <v>11274.9</v>
      </c>
      <c r="P12" s="74">
        <f t="shared" si="11"/>
        <v>9704.4680000000008</v>
      </c>
      <c r="Q12" s="74">
        <f t="shared" si="11"/>
        <v>10567.06</v>
      </c>
      <c r="R12" s="74">
        <f t="shared" si="11"/>
        <v>9064.6729999999989</v>
      </c>
      <c r="S12" s="74">
        <f t="shared" si="11"/>
        <v>9139.73</v>
      </c>
      <c r="T12" s="74">
        <f t="shared" si="11"/>
        <v>8441.6779999999999</v>
      </c>
      <c r="U12" s="74">
        <f t="shared" si="11"/>
        <v>6089.14</v>
      </c>
      <c r="V12" s="74">
        <f t="shared" si="11"/>
        <v>6165.4719999999998</v>
      </c>
      <c r="W12" s="74">
        <f t="shared" si="11"/>
        <v>5000</v>
      </c>
      <c r="X12" s="74">
        <f t="shared" si="11"/>
        <v>5972.3149999999996</v>
      </c>
      <c r="Y12" s="74">
        <f t="shared" si="11"/>
        <v>5972.32</v>
      </c>
      <c r="Z12" s="74">
        <f t="shared" si="11"/>
        <v>9932.8310000000001</v>
      </c>
      <c r="AA12" s="74">
        <f t="shared" si="11"/>
        <v>7164.07</v>
      </c>
      <c r="AB12" s="74">
        <f t="shared" si="11"/>
        <v>6884.62</v>
      </c>
      <c r="AC12" s="74">
        <f t="shared" si="11"/>
        <v>25520.71</v>
      </c>
      <c r="AD12" s="74">
        <f t="shared" si="11"/>
        <v>5989.6809999999996</v>
      </c>
      <c r="AE12" s="74">
        <f t="shared" si="11"/>
        <v>0</v>
      </c>
      <c r="AF12" s="74">
        <f t="shared" si="11"/>
        <v>1919.8890000000024</v>
      </c>
      <c r="AG12" s="74">
        <f t="shared" si="11"/>
        <v>0</v>
      </c>
      <c r="AH12" s="75"/>
    </row>
    <row r="13" spans="1:35" s="22" customFormat="1" ht="18.75" customHeight="1" x14ac:dyDescent="0.25">
      <c r="A13" s="66"/>
      <c r="B13" s="536" t="s">
        <v>238</v>
      </c>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8"/>
      <c r="AH13" s="64"/>
    </row>
    <row r="14" spans="1:35" s="21" customFormat="1" ht="23.25" customHeight="1" x14ac:dyDescent="0.25">
      <c r="A14" s="539" t="s">
        <v>50</v>
      </c>
      <c r="B14" s="542" t="s">
        <v>239</v>
      </c>
      <c r="C14" s="125" t="s">
        <v>20</v>
      </c>
      <c r="D14" s="70">
        <f>D16+D18+D15+D17</f>
        <v>1777692.5216100002</v>
      </c>
      <c r="E14" s="70">
        <f>E16+E18+E15+E17</f>
        <v>916152.42554000008</v>
      </c>
      <c r="F14" s="70">
        <f>F16+F18+F15+F17</f>
        <v>667269.15502099996</v>
      </c>
      <c r="G14" s="70">
        <f>G16+G18+G15+G17</f>
        <v>667269.15502099996</v>
      </c>
      <c r="H14" s="70">
        <f>H16+H18+H15+H17</f>
        <v>189.7399194718632</v>
      </c>
      <c r="I14" s="62">
        <f>IFERROR(G14/E14*100,0)</f>
        <v>72.833857818768209</v>
      </c>
      <c r="J14" s="70">
        <f t="shared" ref="J14" si="12">J16+J18+J15+J17</f>
        <v>0</v>
      </c>
      <c r="K14" s="70">
        <f t="shared" ref="K14" si="13">K16+K18+K15+K17</f>
        <v>0</v>
      </c>
      <c r="L14" s="70">
        <f t="shared" ref="L14" si="14">L16+L18+L15+L17</f>
        <v>0</v>
      </c>
      <c r="M14" s="70">
        <f t="shared" ref="M14" si="15">M16+M18+M15+M17</f>
        <v>0</v>
      </c>
      <c r="N14" s="70">
        <f t="shared" ref="N14" si="16">N16+N18+N15+N17</f>
        <v>13869.64</v>
      </c>
      <c r="O14" s="70">
        <f t="shared" ref="O14" si="17">O16+O18+O15+O17</f>
        <v>13869.64147</v>
      </c>
      <c r="P14" s="70">
        <f t="shared" ref="P14" si="18">P16+P18+P15+P17</f>
        <v>18881.23</v>
      </c>
      <c r="Q14" s="70">
        <f t="shared" ref="Q14" si="19">Q16+Q18+Q15+Q17</f>
        <v>18218.509999999998</v>
      </c>
      <c r="R14" s="70">
        <f t="shared" ref="R14" si="20">R16+R18+R15+R17</f>
        <v>47452.89</v>
      </c>
      <c r="S14" s="70">
        <f t="shared" ref="S14" si="21">S16+S18+S15+S17</f>
        <v>47452.89</v>
      </c>
      <c r="T14" s="70">
        <f t="shared" ref="T14" si="22">T16+T18+T15+T17</f>
        <v>62632.507140000002</v>
      </c>
      <c r="U14" s="70">
        <f t="shared" ref="U14" si="23">U16+U18+U15+U17</f>
        <v>62632.507140999995</v>
      </c>
      <c r="V14" s="70">
        <f t="shared" ref="V14" si="24">V16+V18+V15+V17</f>
        <v>96205.718269999998</v>
      </c>
      <c r="W14" s="70">
        <f t="shared" ref="W14" si="25">W16+W18+W15+W17</f>
        <v>96868.45</v>
      </c>
      <c r="X14" s="70">
        <f t="shared" ref="X14" si="26">X16+X18+X15+X17</f>
        <v>174264.07990999997</v>
      </c>
      <c r="Y14" s="70">
        <f t="shared" ref="Y14" si="27">Y16+Y18+Y15+Y17</f>
        <v>116864.53</v>
      </c>
      <c r="Z14" s="70">
        <f t="shared" ref="Z14" si="28">Z16+Z18+Z15+Z17</f>
        <v>366180.76</v>
      </c>
      <c r="AA14" s="70">
        <f t="shared" ref="AA14" si="29">AA16+AA18+AA15+AA17</f>
        <v>174580.29641000001</v>
      </c>
      <c r="AB14" s="70">
        <f t="shared" ref="AB14" si="30">AB16+AB18+AB15+AB17</f>
        <v>136665.60021999999</v>
      </c>
      <c r="AC14" s="70">
        <f t="shared" ref="AC14" si="31">AC16+AC18+AC15+AC17</f>
        <v>136782.33000000002</v>
      </c>
      <c r="AD14" s="70">
        <f t="shared" ref="AD14" si="32">AD16+AD18+AD15+AD17</f>
        <v>167035.73607000001</v>
      </c>
      <c r="AE14" s="70">
        <f t="shared" ref="AE14" si="33">AE16+AE18+AE15+AE17</f>
        <v>0</v>
      </c>
      <c r="AF14" s="70">
        <f t="shared" ref="AF14" si="34">AF16+AF18+AF15+AF17</f>
        <v>694504.3600000001</v>
      </c>
      <c r="AG14" s="70">
        <f t="shared" ref="AG14" si="35">AG16+AG18+AG15+AG17</f>
        <v>0</v>
      </c>
      <c r="AH14" s="60"/>
      <c r="AI14" s="23"/>
    </row>
    <row r="15" spans="1:35" s="21" customFormat="1" ht="17.25" customHeight="1" x14ac:dyDescent="0.25">
      <c r="A15" s="540"/>
      <c r="B15" s="543"/>
      <c r="C15" s="126" t="s">
        <v>52</v>
      </c>
      <c r="D15" s="74">
        <f>SUM(J15,L15,N15,P15,R15,T15,V15,X15,Z15,AB15,AD15,AF15)</f>
        <v>11083.8</v>
      </c>
      <c r="E15" s="62">
        <f>J15+L15+N15+P15+R15+T15+V15+X15+Z15+AB15</f>
        <v>11083.8</v>
      </c>
      <c r="F15" s="62">
        <f>G15</f>
        <v>11083.8</v>
      </c>
      <c r="G15" s="62">
        <f>SUM(K15,M15,O15,Q15,S15,U15,W15,Y15,AA15,AC15,AE15,AG15)</f>
        <v>11083.8</v>
      </c>
      <c r="H15" s="62">
        <f t="shared" ref="H15:H19" si="36">IFERROR(G15/D15*100,0)</f>
        <v>100</v>
      </c>
      <c r="I15" s="62">
        <f t="shared" ref="I15:I19" si="37">IFERROR(G15/E15*100,0)</f>
        <v>100</v>
      </c>
      <c r="J15" s="62">
        <v>0</v>
      </c>
      <c r="K15" s="62">
        <v>0</v>
      </c>
      <c r="L15" s="62">
        <v>0</v>
      </c>
      <c r="M15" s="62">
        <v>0</v>
      </c>
      <c r="N15" s="62">
        <v>0</v>
      </c>
      <c r="O15" s="62">
        <v>0</v>
      </c>
      <c r="P15" s="62">
        <v>0</v>
      </c>
      <c r="Q15" s="62">
        <v>0</v>
      </c>
      <c r="R15" s="62">
        <v>11083.8</v>
      </c>
      <c r="S15" s="62">
        <v>11083.8</v>
      </c>
      <c r="T15" s="62"/>
      <c r="U15" s="62">
        <v>0</v>
      </c>
      <c r="V15" s="62">
        <v>0</v>
      </c>
      <c r="W15" s="62">
        <v>0</v>
      </c>
      <c r="X15" s="62">
        <v>0</v>
      </c>
      <c r="Y15" s="62">
        <v>0</v>
      </c>
      <c r="Z15" s="62">
        <v>0</v>
      </c>
      <c r="AA15" s="62">
        <v>0</v>
      </c>
      <c r="AB15" s="62">
        <v>0</v>
      </c>
      <c r="AC15" s="62">
        <v>0</v>
      </c>
      <c r="AD15" s="62">
        <v>0</v>
      </c>
      <c r="AE15" s="62">
        <v>0</v>
      </c>
      <c r="AF15" s="62">
        <v>0</v>
      </c>
      <c r="AG15" s="62">
        <v>0</v>
      </c>
      <c r="AH15" s="60"/>
      <c r="AI15" s="23"/>
    </row>
    <row r="16" spans="1:35" s="21" customFormat="1" ht="37.5" customHeight="1" x14ac:dyDescent="0.25">
      <c r="A16" s="540"/>
      <c r="B16" s="543"/>
      <c r="C16" s="126" t="s">
        <v>22</v>
      </c>
      <c r="D16" s="74">
        <f>SUM(J16,L16,N16,P16,R16,T16,V16,X16,Z16,AB16,AD16,AF16)</f>
        <v>1293765.6345000002</v>
      </c>
      <c r="E16" s="62">
        <f>J16+L16+N16+P16+R16+T16+V16+X16+Z16+AB16</f>
        <v>813446.07204</v>
      </c>
      <c r="F16" s="62">
        <f>G16</f>
        <v>589451.12374099996</v>
      </c>
      <c r="G16" s="62">
        <f>SUM(K16,M16,O16,Q16,S16,U16,W16,Y16,AA16,AC16,AE16,AG16)</f>
        <v>589451.12374099996</v>
      </c>
      <c r="H16" s="62">
        <f t="shared" si="36"/>
        <v>45.560888929377406</v>
      </c>
      <c r="I16" s="62">
        <f>IFERROR(G16/E16*100,0)</f>
        <v>72.463454431926323</v>
      </c>
      <c r="J16" s="473">
        <v>0</v>
      </c>
      <c r="K16" s="473">
        <v>0</v>
      </c>
      <c r="L16" s="473">
        <v>0</v>
      </c>
      <c r="M16" s="473">
        <v>0</v>
      </c>
      <c r="N16" s="474">
        <v>12482.68</v>
      </c>
      <c r="O16" s="474">
        <v>12482.677320000001</v>
      </c>
      <c r="P16" s="474">
        <v>16993.11</v>
      </c>
      <c r="Q16" s="474">
        <v>16396.66</v>
      </c>
      <c r="R16" s="474">
        <v>31623.8</v>
      </c>
      <c r="S16" s="474">
        <v>31623.8</v>
      </c>
      <c r="T16" s="474">
        <v>56369.256420000005</v>
      </c>
      <c r="U16" s="475">
        <v>56369.256420999998</v>
      </c>
      <c r="V16" s="474">
        <v>76838.384709999998</v>
      </c>
      <c r="W16" s="475">
        <v>77434.84</v>
      </c>
      <c r="X16" s="474">
        <v>154867.17090999999</v>
      </c>
      <c r="Y16" s="473">
        <v>97467.62</v>
      </c>
      <c r="Z16" s="474">
        <v>341272.63</v>
      </c>
      <c r="AA16" s="473">
        <v>174572.17</v>
      </c>
      <c r="AB16" s="474">
        <v>122999.03999999999</v>
      </c>
      <c r="AC16" s="474">
        <v>123104.1</v>
      </c>
      <c r="AD16" s="474">
        <v>150332.16246000002</v>
      </c>
      <c r="AE16" s="473">
        <v>0</v>
      </c>
      <c r="AF16" s="474">
        <v>329987.40000000002</v>
      </c>
      <c r="AG16" s="474"/>
      <c r="AH16" s="60"/>
      <c r="AI16" s="23"/>
    </row>
    <row r="17" spans="1:35" s="21" customFormat="1" ht="57" customHeight="1" x14ac:dyDescent="0.25">
      <c r="A17" s="540"/>
      <c r="B17" s="543"/>
      <c r="C17" s="126" t="s">
        <v>276</v>
      </c>
      <c r="D17" s="74">
        <f>SUM(J17,L17,N17,P17,R17,T17,V17,X17,Z17,AB17,AD17,AF17)</f>
        <v>321789</v>
      </c>
      <c r="E17" s="62">
        <f t="shared" ref="E17:E18" si="38">J17+L17+N17+P17+R17+T17+V17+X17+Z17+AB17</f>
        <v>0</v>
      </c>
      <c r="F17" s="62">
        <f>G17</f>
        <v>0</v>
      </c>
      <c r="G17" s="62">
        <f>SUM(K17,M17,O17,Q17,S17,U17,W17,Y17,AA17,AC17,AE17,AG17)</f>
        <v>0</v>
      </c>
      <c r="H17" s="62">
        <f t="shared" ref="H17" si="39">IFERROR(G17/D17*100,0)</f>
        <v>0</v>
      </c>
      <c r="I17" s="62">
        <f t="shared" ref="I17" si="40">IFERROR(G17/E17*100,0)</f>
        <v>0</v>
      </c>
      <c r="J17" s="63"/>
      <c r="K17" s="63"/>
      <c r="L17" s="63"/>
      <c r="M17" s="63"/>
      <c r="N17" s="63"/>
      <c r="O17" s="63"/>
      <c r="P17" s="63"/>
      <c r="Q17" s="63"/>
      <c r="R17" s="63"/>
      <c r="S17" s="63"/>
      <c r="T17" s="63"/>
      <c r="U17" s="63"/>
      <c r="V17" s="63"/>
      <c r="W17" s="63"/>
      <c r="X17" s="63"/>
      <c r="Y17" s="63"/>
      <c r="Z17" s="63"/>
      <c r="AA17" s="63"/>
      <c r="AB17" s="63"/>
      <c r="AC17" s="63"/>
      <c r="AD17" s="63"/>
      <c r="AE17" s="63"/>
      <c r="AF17" s="63">
        <v>321789</v>
      </c>
      <c r="AG17" s="63"/>
      <c r="AH17" s="60"/>
      <c r="AI17" s="23"/>
    </row>
    <row r="18" spans="1:35" s="22" customFormat="1" ht="114" customHeight="1" x14ac:dyDescent="0.25">
      <c r="A18" s="541"/>
      <c r="B18" s="544"/>
      <c r="C18" s="126" t="s">
        <v>21</v>
      </c>
      <c r="D18" s="74">
        <f>SUM(J18,L18,N18,P18,R18,T18,V18,X18,Z18,AB18,AD18,AF18)</f>
        <v>151054.08710999999</v>
      </c>
      <c r="E18" s="62">
        <f t="shared" si="38"/>
        <v>91622.553499999995</v>
      </c>
      <c r="F18" s="62">
        <f>G18</f>
        <v>66734.231279999993</v>
      </c>
      <c r="G18" s="62">
        <f>SUM(K18,M18,O18,Q18,S18,U18,W18,Y18,AA18,AC18,AE18,AG18)</f>
        <v>66734.231279999993</v>
      </c>
      <c r="H18" s="62">
        <f t="shared" si="36"/>
        <v>44.179030542485791</v>
      </c>
      <c r="I18" s="62">
        <f>IFERROR(G18/E18*100,0)</f>
        <v>72.836030792352886</v>
      </c>
      <c r="J18" s="476">
        <v>0</v>
      </c>
      <c r="K18" s="476">
        <v>0</v>
      </c>
      <c r="L18" s="476">
        <v>0</v>
      </c>
      <c r="M18" s="476">
        <v>0</v>
      </c>
      <c r="N18" s="477">
        <v>1386.96</v>
      </c>
      <c r="O18" s="477">
        <v>1386.96415</v>
      </c>
      <c r="P18" s="477">
        <v>1888.12</v>
      </c>
      <c r="Q18" s="477">
        <v>1821.85</v>
      </c>
      <c r="R18" s="477">
        <v>4745.29</v>
      </c>
      <c r="S18" s="477">
        <v>4745.29</v>
      </c>
      <c r="T18" s="477">
        <v>6263.25072</v>
      </c>
      <c r="U18" s="478">
        <v>6263.25072</v>
      </c>
      <c r="V18" s="477">
        <v>19367.333559999999</v>
      </c>
      <c r="W18" s="478">
        <v>19433.61</v>
      </c>
      <c r="X18" s="477">
        <v>19396.909</v>
      </c>
      <c r="Y18" s="476">
        <v>19396.91</v>
      </c>
      <c r="Z18" s="477">
        <v>24908.13</v>
      </c>
      <c r="AA18" s="476">
        <v>8.1264099999999999</v>
      </c>
      <c r="AB18" s="477">
        <v>13666.560220000001</v>
      </c>
      <c r="AC18" s="477">
        <v>13678.23</v>
      </c>
      <c r="AD18" s="477">
        <v>16703.573609999999</v>
      </c>
      <c r="AE18" s="476">
        <v>0</v>
      </c>
      <c r="AF18" s="477">
        <v>42727.96</v>
      </c>
      <c r="AG18" s="477"/>
      <c r="AH18" s="64" t="s">
        <v>350</v>
      </c>
      <c r="AI18" s="20"/>
    </row>
    <row r="19" spans="1:35" s="22" customFormat="1" ht="27.75" customHeight="1" x14ac:dyDescent="0.25">
      <c r="A19" s="545" t="s">
        <v>76</v>
      </c>
      <c r="B19" s="542" t="s">
        <v>240</v>
      </c>
      <c r="C19" s="125" t="s">
        <v>20</v>
      </c>
      <c r="D19" s="70">
        <f>D22+D21+D20</f>
        <v>110082.20999999998</v>
      </c>
      <c r="E19" s="70">
        <f t="shared" ref="E19:G19" si="41">E22+E21+E20</f>
        <v>93093.569999999992</v>
      </c>
      <c r="F19" s="70">
        <f t="shared" si="41"/>
        <v>83667.890000000014</v>
      </c>
      <c r="G19" s="70">
        <f t="shared" si="41"/>
        <v>83667.890000000014</v>
      </c>
      <c r="H19" s="58">
        <f t="shared" si="36"/>
        <v>76.004914872257771</v>
      </c>
      <c r="I19" s="58">
        <f t="shared" si="37"/>
        <v>89.87504722399197</v>
      </c>
      <c r="J19" s="59">
        <f>J22+J21+J20</f>
        <v>9173.4399999999987</v>
      </c>
      <c r="K19" s="59">
        <f t="shared" ref="K19:AG19" si="42">K22+K21+K20</f>
        <v>0</v>
      </c>
      <c r="L19" s="59">
        <f t="shared" si="42"/>
        <v>9135.5419999999976</v>
      </c>
      <c r="M19" s="59">
        <f t="shared" si="42"/>
        <v>0</v>
      </c>
      <c r="N19" s="59">
        <f t="shared" si="42"/>
        <v>9173.4399999999987</v>
      </c>
      <c r="O19" s="59">
        <f t="shared" si="42"/>
        <v>19913.809999999998</v>
      </c>
      <c r="P19" s="59">
        <f t="shared" si="42"/>
        <v>9161.4499999999989</v>
      </c>
      <c r="Q19" s="59">
        <f t="shared" si="42"/>
        <v>7808.170000000001</v>
      </c>
      <c r="R19" s="59">
        <f t="shared" si="42"/>
        <v>24013.81</v>
      </c>
      <c r="S19" s="59">
        <f t="shared" si="42"/>
        <v>27432.39</v>
      </c>
      <c r="T19" s="59">
        <f t="shared" si="42"/>
        <v>9694.503999999999</v>
      </c>
      <c r="U19" s="59">
        <f t="shared" si="42"/>
        <v>8249.89</v>
      </c>
      <c r="V19" s="59">
        <f t="shared" si="42"/>
        <v>2043.4159999999999</v>
      </c>
      <c r="W19" s="59">
        <f t="shared" si="42"/>
        <v>2044.28</v>
      </c>
      <c r="X19" s="59">
        <f t="shared" si="42"/>
        <v>5396.9659999999985</v>
      </c>
      <c r="Y19" s="59">
        <f t="shared" si="42"/>
        <v>4074.34</v>
      </c>
      <c r="Z19" s="59">
        <f t="shared" si="42"/>
        <v>6117.6580000000004</v>
      </c>
      <c r="AA19" s="59">
        <f t="shared" si="42"/>
        <v>5862.69</v>
      </c>
      <c r="AB19" s="59">
        <f t="shared" si="42"/>
        <v>9183.3439999999991</v>
      </c>
      <c r="AC19" s="59">
        <f t="shared" si="42"/>
        <v>8282.3200000000015</v>
      </c>
      <c r="AD19" s="59">
        <f t="shared" si="42"/>
        <v>9183.4399999999987</v>
      </c>
      <c r="AE19" s="59">
        <f t="shared" si="42"/>
        <v>0</v>
      </c>
      <c r="AF19" s="59">
        <f t="shared" si="42"/>
        <v>7805.2</v>
      </c>
      <c r="AG19" s="59">
        <f t="shared" si="42"/>
        <v>0</v>
      </c>
      <c r="AH19" s="60"/>
      <c r="AI19" s="20"/>
    </row>
    <row r="20" spans="1:35" s="22" customFormat="1" ht="27.75" customHeight="1" x14ac:dyDescent="0.25">
      <c r="A20" s="546"/>
      <c r="B20" s="543"/>
      <c r="C20" s="126" t="s">
        <v>52</v>
      </c>
      <c r="D20" s="74">
        <f>SUM(J20,L20,N20,P20,R20,T20,V20,X20,Z20,AB20,AD20,AF20)</f>
        <v>109355.69599999998</v>
      </c>
      <c r="E20" s="74">
        <f>J20+L20+N20+P20+R20+T20+V20+X20+Z20+AB20</f>
        <v>92488.185999999987</v>
      </c>
      <c r="F20" s="74">
        <f>G20</f>
        <v>83212.450000000012</v>
      </c>
      <c r="G20" s="74">
        <f>SUM(K20,M20,O20,Q20,S20,U20,W20,Y20,AA20,AC20,AE20,AG20)</f>
        <v>83212.450000000012</v>
      </c>
      <c r="H20" s="74">
        <f>IFERROR(G20/D20*100,0)</f>
        <v>76.093384289740172</v>
      </c>
      <c r="I20" s="74">
        <f>IFERROR(G20/E20*100,0)</f>
        <v>89.970896391026656</v>
      </c>
      <c r="J20" s="63">
        <f>J24+J29+J31</f>
        <v>9112.9679999999989</v>
      </c>
      <c r="K20" s="63">
        <f t="shared" ref="K20:AG20" si="43">K24+K29+K31</f>
        <v>0</v>
      </c>
      <c r="L20" s="63">
        <f t="shared" si="43"/>
        <v>9075.0699999999979</v>
      </c>
      <c r="M20" s="63">
        <f t="shared" si="43"/>
        <v>0</v>
      </c>
      <c r="N20" s="63">
        <f t="shared" si="43"/>
        <v>9112.9679999999989</v>
      </c>
      <c r="O20" s="63">
        <f t="shared" si="43"/>
        <v>19773.759999999998</v>
      </c>
      <c r="P20" s="63">
        <f t="shared" si="43"/>
        <v>9112.9679999999989</v>
      </c>
      <c r="Q20" s="63">
        <f t="shared" si="43"/>
        <v>7796.0300000000007</v>
      </c>
      <c r="R20" s="63">
        <f t="shared" si="43"/>
        <v>23953.338</v>
      </c>
      <c r="S20" s="63">
        <f t="shared" si="43"/>
        <v>27336.23</v>
      </c>
      <c r="T20" s="63">
        <f t="shared" si="43"/>
        <v>9589.6279999999988</v>
      </c>
      <c r="U20" s="63">
        <f t="shared" si="43"/>
        <v>8145.99</v>
      </c>
      <c r="V20" s="63">
        <f t="shared" si="43"/>
        <v>1983.8</v>
      </c>
      <c r="W20" s="63">
        <f t="shared" si="43"/>
        <v>1983.8</v>
      </c>
      <c r="X20" s="63">
        <f t="shared" si="43"/>
        <v>5321.4899999999989</v>
      </c>
      <c r="Y20" s="63">
        <f t="shared" si="43"/>
        <v>4048.88</v>
      </c>
      <c r="Z20" s="63">
        <f t="shared" si="43"/>
        <v>6112.9880000000003</v>
      </c>
      <c r="AA20" s="63">
        <f t="shared" si="43"/>
        <v>5859.11</v>
      </c>
      <c r="AB20" s="63">
        <f t="shared" si="43"/>
        <v>9112.9679999999989</v>
      </c>
      <c r="AC20" s="63">
        <f t="shared" si="43"/>
        <v>8268.6500000000015</v>
      </c>
      <c r="AD20" s="63">
        <f t="shared" si="43"/>
        <v>9112.9679999999989</v>
      </c>
      <c r="AE20" s="63">
        <f t="shared" si="43"/>
        <v>0</v>
      </c>
      <c r="AF20" s="63">
        <f t="shared" si="43"/>
        <v>7754.5419999999995</v>
      </c>
      <c r="AG20" s="63">
        <f t="shared" si="43"/>
        <v>0</v>
      </c>
      <c r="AH20" s="64"/>
      <c r="AI20" s="20"/>
    </row>
    <row r="21" spans="1:35" s="26" customFormat="1" ht="36" customHeight="1" x14ac:dyDescent="0.25">
      <c r="A21" s="546"/>
      <c r="B21" s="543"/>
      <c r="C21" s="124" t="s">
        <v>22</v>
      </c>
      <c r="D21" s="74">
        <f>SUM(J21,L21,N21,P21,R21,T21,V21,X21,Z21,AB21,AD21,AF21)</f>
        <v>713.90200000000004</v>
      </c>
      <c r="E21" s="74">
        <f t="shared" ref="E21:E22" si="44">J21+L21+N21+P21+R21+T21+V21+X21+Z21+AB21</f>
        <v>594.69200000000001</v>
      </c>
      <c r="F21" s="74">
        <f>G21</f>
        <v>448.03999999999996</v>
      </c>
      <c r="G21" s="74">
        <f>SUM(K21,M21,O21,Q21,S21,U21,W21,Y21,AA21,AC21,AE21,AG21)</f>
        <v>448.03999999999996</v>
      </c>
      <c r="H21" s="74">
        <f>IFERROR(G21/D21*100,0)</f>
        <v>62.759314303643912</v>
      </c>
      <c r="I21" s="74">
        <f>IFERROR(G21/E21*100,0)</f>
        <v>75.339839782610156</v>
      </c>
      <c r="J21" s="67">
        <f>J25</f>
        <v>59.485999999999997</v>
      </c>
      <c r="K21" s="67">
        <f t="shared" ref="K21:AG22" si="45">K25</f>
        <v>0</v>
      </c>
      <c r="L21" s="67">
        <f t="shared" si="45"/>
        <v>59.485999999999997</v>
      </c>
      <c r="M21" s="67">
        <f t="shared" si="45"/>
        <v>0</v>
      </c>
      <c r="N21" s="67">
        <f t="shared" si="45"/>
        <v>59.485999999999997</v>
      </c>
      <c r="O21" s="67">
        <f t="shared" si="45"/>
        <v>137.78</v>
      </c>
      <c r="P21" s="67">
        <f t="shared" si="45"/>
        <v>47.495999999999995</v>
      </c>
      <c r="Q21" s="67">
        <f t="shared" si="45"/>
        <v>11.93</v>
      </c>
      <c r="R21" s="67">
        <f t="shared" si="45"/>
        <v>59.485999999999997</v>
      </c>
      <c r="S21" s="67">
        <f t="shared" si="45"/>
        <v>94.6</v>
      </c>
      <c r="T21" s="67">
        <f t="shared" si="45"/>
        <v>102.21</v>
      </c>
      <c r="U21" s="67">
        <f t="shared" si="45"/>
        <v>102.21</v>
      </c>
      <c r="V21" s="67">
        <f t="shared" si="45"/>
        <v>59.485999999999997</v>
      </c>
      <c r="W21" s="67">
        <f t="shared" si="45"/>
        <v>59.49</v>
      </c>
      <c r="X21" s="67">
        <f t="shared" si="45"/>
        <v>74.490000000000009</v>
      </c>
      <c r="Y21" s="67">
        <f t="shared" si="45"/>
        <v>25</v>
      </c>
      <c r="Z21" s="67">
        <f t="shared" si="45"/>
        <v>3.58</v>
      </c>
      <c r="AA21" s="67">
        <f t="shared" si="45"/>
        <v>3.58</v>
      </c>
      <c r="AB21" s="67">
        <f t="shared" si="45"/>
        <v>69.486000000000004</v>
      </c>
      <c r="AC21" s="67">
        <f t="shared" si="45"/>
        <v>13.45</v>
      </c>
      <c r="AD21" s="67">
        <f t="shared" si="45"/>
        <v>69.486000000000004</v>
      </c>
      <c r="AE21" s="67">
        <f t="shared" si="45"/>
        <v>0</v>
      </c>
      <c r="AF21" s="67">
        <f t="shared" si="45"/>
        <v>49.723999999999997</v>
      </c>
      <c r="AG21" s="67">
        <f t="shared" si="45"/>
        <v>0</v>
      </c>
      <c r="AH21" s="72"/>
      <c r="AI21" s="24"/>
    </row>
    <row r="22" spans="1:35" s="26" customFormat="1" ht="39" customHeight="1" x14ac:dyDescent="0.25">
      <c r="A22" s="540"/>
      <c r="B22" s="543"/>
      <c r="C22" s="124" t="s">
        <v>21</v>
      </c>
      <c r="D22" s="74">
        <f>SUM(J22,L22,N22,P22,R22,T22,V22,X22,Z22,AB22,AD22,AF22)</f>
        <v>12.612</v>
      </c>
      <c r="E22" s="74">
        <f t="shared" si="44"/>
        <v>10.692</v>
      </c>
      <c r="F22" s="74">
        <f>G22</f>
        <v>7.4</v>
      </c>
      <c r="G22" s="74">
        <f>SUM(K22,M22,O22,Q22,S22,U22,W22,Y22,AA22,AC22,AE22,AG22)</f>
        <v>7.4</v>
      </c>
      <c r="H22" s="74">
        <f>IFERROR(G22/D22*100,0)</f>
        <v>58.674278464954014</v>
      </c>
      <c r="I22" s="74">
        <f>IFERROR(G22/E22*100,0)</f>
        <v>69.210624766180331</v>
      </c>
      <c r="J22" s="67">
        <f>J26</f>
        <v>0.98599999999999999</v>
      </c>
      <c r="K22" s="67">
        <f t="shared" si="45"/>
        <v>0</v>
      </c>
      <c r="L22" s="67">
        <f t="shared" si="45"/>
        <v>0.98599999999999999</v>
      </c>
      <c r="M22" s="67">
        <f t="shared" si="45"/>
        <v>0</v>
      </c>
      <c r="N22" s="67">
        <f t="shared" si="45"/>
        <v>0.98599999999999999</v>
      </c>
      <c r="O22" s="67">
        <f t="shared" si="45"/>
        <v>2.27</v>
      </c>
      <c r="P22" s="67">
        <f t="shared" si="45"/>
        <v>0.98599999999999999</v>
      </c>
      <c r="Q22" s="67">
        <f t="shared" si="45"/>
        <v>0.21</v>
      </c>
      <c r="R22" s="67">
        <f t="shared" si="45"/>
        <v>0.98599999999999999</v>
      </c>
      <c r="S22" s="67">
        <f t="shared" si="45"/>
        <v>1.56</v>
      </c>
      <c r="T22" s="67">
        <f t="shared" si="45"/>
        <v>2.6659999999999999</v>
      </c>
      <c r="U22" s="67">
        <f t="shared" si="45"/>
        <v>1.69</v>
      </c>
      <c r="V22" s="67">
        <f t="shared" si="45"/>
        <v>0.13</v>
      </c>
      <c r="W22" s="67">
        <f t="shared" si="45"/>
        <v>0.99</v>
      </c>
      <c r="X22" s="67">
        <f t="shared" si="45"/>
        <v>0.98599999999999999</v>
      </c>
      <c r="Y22" s="67">
        <f t="shared" si="45"/>
        <v>0.46</v>
      </c>
      <c r="Z22" s="67">
        <f t="shared" si="45"/>
        <v>1.0900000000000001</v>
      </c>
      <c r="AA22" s="67">
        <f t="shared" si="45"/>
        <v>0</v>
      </c>
      <c r="AB22" s="67">
        <f t="shared" si="45"/>
        <v>0.89</v>
      </c>
      <c r="AC22" s="67">
        <f t="shared" si="45"/>
        <v>0.22</v>
      </c>
      <c r="AD22" s="67">
        <f t="shared" si="45"/>
        <v>0.98599999999999999</v>
      </c>
      <c r="AE22" s="67">
        <f t="shared" si="45"/>
        <v>0</v>
      </c>
      <c r="AF22" s="67">
        <f t="shared" si="45"/>
        <v>0.93400000000000005</v>
      </c>
      <c r="AG22" s="67">
        <f t="shared" si="45"/>
        <v>0</v>
      </c>
      <c r="AH22" s="72"/>
      <c r="AI22" s="24"/>
    </row>
    <row r="23" spans="1:35" s="22" customFormat="1" ht="30.75" customHeight="1" x14ac:dyDescent="0.25">
      <c r="A23" s="547"/>
      <c r="B23" s="550" t="s">
        <v>241</v>
      </c>
      <c r="C23" s="125" t="s">
        <v>20</v>
      </c>
      <c r="D23" s="70">
        <f>D26+D25+D24</f>
        <v>1182.9100000000001</v>
      </c>
      <c r="E23" s="70">
        <f>E26+E25+E24</f>
        <v>985.80000000000007</v>
      </c>
      <c r="F23" s="70">
        <f t="shared" ref="F23:G23" si="46">F26+F25+F24</f>
        <v>741.88999999999987</v>
      </c>
      <c r="G23" s="70">
        <f t="shared" si="46"/>
        <v>741.88999999999987</v>
      </c>
      <c r="H23" s="58">
        <f t="shared" ref="H23" si="47">IFERROR(G23/D23*100,0)</f>
        <v>62.717366494492374</v>
      </c>
      <c r="I23" s="58">
        <f t="shared" ref="I23" si="48">IFERROR(G23/E23*100,0)</f>
        <v>75.257658754311194</v>
      </c>
      <c r="J23" s="59">
        <f>J26+J25+J24</f>
        <v>98.5</v>
      </c>
      <c r="K23" s="59">
        <f t="shared" ref="K23:AG23" si="49">K26+K25+K24</f>
        <v>0</v>
      </c>
      <c r="L23" s="59">
        <f t="shared" si="49"/>
        <v>60.601999999999997</v>
      </c>
      <c r="M23" s="59">
        <f t="shared" si="49"/>
        <v>0</v>
      </c>
      <c r="N23" s="59">
        <f t="shared" si="49"/>
        <v>98.5</v>
      </c>
      <c r="O23" s="59">
        <f t="shared" si="49"/>
        <v>228.14000000000001</v>
      </c>
      <c r="P23" s="59">
        <f t="shared" si="49"/>
        <v>86.509999999999991</v>
      </c>
      <c r="Q23" s="59">
        <f t="shared" si="49"/>
        <v>19.77</v>
      </c>
      <c r="R23" s="59">
        <f t="shared" si="49"/>
        <v>136.52999999999997</v>
      </c>
      <c r="S23" s="59">
        <f t="shared" si="49"/>
        <v>156.63999999999999</v>
      </c>
      <c r="T23" s="59">
        <f t="shared" si="49"/>
        <v>209.60399999999998</v>
      </c>
      <c r="U23" s="59">
        <f t="shared" si="49"/>
        <v>169.24</v>
      </c>
      <c r="V23" s="59">
        <f t="shared" si="49"/>
        <v>59.616</v>
      </c>
      <c r="W23" s="59">
        <f t="shared" si="49"/>
        <v>60.480000000000004</v>
      </c>
      <c r="X23" s="59">
        <f t="shared" si="49"/>
        <v>84.836000000000013</v>
      </c>
      <c r="Y23" s="59">
        <f t="shared" si="49"/>
        <v>34.82</v>
      </c>
      <c r="Z23" s="59">
        <f t="shared" si="49"/>
        <v>42.698</v>
      </c>
      <c r="AA23" s="59">
        <f t="shared" si="49"/>
        <v>50.53</v>
      </c>
      <c r="AB23" s="59">
        <f t="shared" si="49"/>
        <v>108.404</v>
      </c>
      <c r="AC23" s="59">
        <f t="shared" si="49"/>
        <v>22.27</v>
      </c>
      <c r="AD23" s="59">
        <f t="shared" si="49"/>
        <v>108.5</v>
      </c>
      <c r="AE23" s="59">
        <f t="shared" si="49"/>
        <v>0</v>
      </c>
      <c r="AF23" s="59">
        <f t="shared" si="49"/>
        <v>88.609999999999985</v>
      </c>
      <c r="AG23" s="59">
        <f t="shared" si="49"/>
        <v>0</v>
      </c>
      <c r="AH23" s="60" t="s">
        <v>356</v>
      </c>
      <c r="AI23" s="20"/>
    </row>
    <row r="24" spans="1:35" s="22" customFormat="1" ht="22.5" customHeight="1" x14ac:dyDescent="0.25">
      <c r="A24" s="548"/>
      <c r="B24" s="551"/>
      <c r="C24" s="126" t="s">
        <v>52</v>
      </c>
      <c r="D24" s="74">
        <f>SUM(J24,L24,N24,P24,R24,T24,V24,X24,Z24,AB24,AD24,AF24)</f>
        <v>456.39600000000007</v>
      </c>
      <c r="E24" s="62">
        <f>J24+L24+N24+P24+R24+T24+V24+X24+Z24+AB24</f>
        <v>380.41600000000005</v>
      </c>
      <c r="F24" s="62">
        <f>G24</f>
        <v>286.45</v>
      </c>
      <c r="G24" s="62">
        <f>SUM(K24,M24,O24,Q24,S24,U24,W24,Y24,AA24,AC24,AE24,AG24)</f>
        <v>286.45</v>
      </c>
      <c r="H24" s="62">
        <f>IFERROR(G24/D24*100,0)</f>
        <v>62.763477331089653</v>
      </c>
      <c r="I24" s="62">
        <f>IFERROR(G24/E24*100,0)</f>
        <v>75.299146197846554</v>
      </c>
      <c r="J24" s="63">
        <v>38.027999999999999</v>
      </c>
      <c r="K24" s="63">
        <v>0</v>
      </c>
      <c r="L24" s="63">
        <v>0.13</v>
      </c>
      <c r="M24" s="63">
        <v>0</v>
      </c>
      <c r="N24" s="63">
        <v>38.027999999999999</v>
      </c>
      <c r="O24" s="63">
        <v>88.09</v>
      </c>
      <c r="P24" s="63">
        <v>38.027999999999999</v>
      </c>
      <c r="Q24" s="63">
        <v>7.63</v>
      </c>
      <c r="R24" s="63">
        <f>38.028+38.03</f>
        <v>76.057999999999993</v>
      </c>
      <c r="S24" s="63">
        <v>60.48</v>
      </c>
      <c r="T24" s="63">
        <f>66.7+38.028</f>
        <v>104.72800000000001</v>
      </c>
      <c r="U24" s="63">
        <v>65.34</v>
      </c>
      <c r="V24" s="63">
        <v>0</v>
      </c>
      <c r="W24" s="63">
        <v>0</v>
      </c>
      <c r="X24" s="63">
        <v>9.36</v>
      </c>
      <c r="Y24" s="63">
        <v>9.36</v>
      </c>
      <c r="Z24" s="63">
        <v>38.027999999999999</v>
      </c>
      <c r="AA24" s="63">
        <v>46.95</v>
      </c>
      <c r="AB24" s="63">
        <v>38.027999999999999</v>
      </c>
      <c r="AC24" s="63">
        <v>8.6</v>
      </c>
      <c r="AD24" s="63">
        <v>38.027999999999999</v>
      </c>
      <c r="AE24" s="63">
        <v>0</v>
      </c>
      <c r="AF24" s="63">
        <f>37.89+38.092-38.03</f>
        <v>37.951999999999998</v>
      </c>
      <c r="AG24" s="63">
        <v>0</v>
      </c>
      <c r="AH24" s="60"/>
      <c r="AI24" s="20"/>
    </row>
    <row r="25" spans="1:35" s="22" customFormat="1" ht="39.75" customHeight="1" x14ac:dyDescent="0.25">
      <c r="A25" s="548"/>
      <c r="B25" s="551"/>
      <c r="C25" s="124" t="s">
        <v>22</v>
      </c>
      <c r="D25" s="74">
        <f>SUM(J25,L25,N25,P25,R25,T25,V25,X25,Z25,AB25,AD25,AF25)</f>
        <v>713.90200000000004</v>
      </c>
      <c r="E25" s="62">
        <f t="shared" ref="E25:E26" si="50">J25+L25+N25+P25+R25+T25+V25+X25+Z25+AB25</f>
        <v>594.69200000000001</v>
      </c>
      <c r="F25" s="62">
        <f>G25</f>
        <v>448.03999999999996</v>
      </c>
      <c r="G25" s="62">
        <f>SUM(K25,M25,O25,Q25,S25,U25,W25,Y25,AA25,AC25,AE25,AG25)</f>
        <v>448.03999999999996</v>
      </c>
      <c r="H25" s="62">
        <f>IFERROR(G25/D25*100,0)</f>
        <v>62.759314303643912</v>
      </c>
      <c r="I25" s="62">
        <f>IFERROR(G25/E25*100,0)</f>
        <v>75.339839782610156</v>
      </c>
      <c r="J25" s="63">
        <v>59.485999999999997</v>
      </c>
      <c r="K25" s="63">
        <v>0</v>
      </c>
      <c r="L25" s="63">
        <v>59.485999999999997</v>
      </c>
      <c r="M25" s="63">
        <v>0</v>
      </c>
      <c r="N25" s="63">
        <v>59.485999999999997</v>
      </c>
      <c r="O25" s="63">
        <v>137.78</v>
      </c>
      <c r="P25" s="63">
        <f>49.486-1.99</f>
        <v>47.495999999999995</v>
      </c>
      <c r="Q25" s="63">
        <v>11.93</v>
      </c>
      <c r="R25" s="63">
        <v>59.485999999999997</v>
      </c>
      <c r="S25" s="63">
        <v>94.6</v>
      </c>
      <c r="T25" s="63">
        <v>102.21</v>
      </c>
      <c r="U25" s="63">
        <v>102.21</v>
      </c>
      <c r="V25" s="63">
        <v>59.485999999999997</v>
      </c>
      <c r="W25" s="63">
        <v>59.49</v>
      </c>
      <c r="X25" s="63">
        <f>49.49+25</f>
        <v>74.490000000000009</v>
      </c>
      <c r="Y25" s="63">
        <v>25</v>
      </c>
      <c r="Z25" s="63">
        <v>3.58</v>
      </c>
      <c r="AA25" s="63">
        <v>3.58</v>
      </c>
      <c r="AB25" s="63">
        <v>69.486000000000004</v>
      </c>
      <c r="AC25" s="63">
        <v>13.45</v>
      </c>
      <c r="AD25" s="63">
        <v>69.486000000000004</v>
      </c>
      <c r="AE25" s="63">
        <v>0</v>
      </c>
      <c r="AF25" s="63">
        <f>19.66+79.554-49.49</f>
        <v>49.723999999999997</v>
      </c>
      <c r="AG25" s="63">
        <v>0</v>
      </c>
      <c r="AH25" s="60"/>
      <c r="AI25" s="20"/>
    </row>
    <row r="26" spans="1:35" s="22" customFormat="1" ht="33" customHeight="1" x14ac:dyDescent="0.25">
      <c r="A26" s="549"/>
      <c r="B26" s="551"/>
      <c r="C26" s="124" t="s">
        <v>21</v>
      </c>
      <c r="D26" s="74">
        <f>SUM(J26,L26,N26,P26,R26,T26,V26,X26,Z26,AB26,AD26,AF26)</f>
        <v>12.612</v>
      </c>
      <c r="E26" s="62">
        <f t="shared" si="50"/>
        <v>10.692</v>
      </c>
      <c r="F26" s="62">
        <f>G26</f>
        <v>7.4</v>
      </c>
      <c r="G26" s="62">
        <f>SUM(K26,M26,O26,Q26,S26,U26,W26,Y26,AA26,AC26,AE26,AG26)</f>
        <v>7.4</v>
      </c>
      <c r="H26" s="62">
        <f>IFERROR(G26/D26*100,0)</f>
        <v>58.674278464954014</v>
      </c>
      <c r="I26" s="62">
        <f>IFERROR(G26/E26*100,0)</f>
        <v>69.210624766180331</v>
      </c>
      <c r="J26" s="63">
        <v>0.98599999999999999</v>
      </c>
      <c r="K26" s="63">
        <v>0</v>
      </c>
      <c r="L26" s="63">
        <v>0.98599999999999999</v>
      </c>
      <c r="M26" s="63">
        <v>0</v>
      </c>
      <c r="N26" s="63">
        <v>0.98599999999999999</v>
      </c>
      <c r="O26" s="63">
        <v>2.27</v>
      </c>
      <c r="P26" s="63">
        <v>0.98599999999999999</v>
      </c>
      <c r="Q26" s="63">
        <v>0.21</v>
      </c>
      <c r="R26" s="63">
        <v>0.98599999999999999</v>
      </c>
      <c r="S26" s="63">
        <v>1.56</v>
      </c>
      <c r="T26" s="63">
        <f>1.78+0.886</f>
        <v>2.6659999999999999</v>
      </c>
      <c r="U26" s="63">
        <v>1.69</v>
      </c>
      <c r="V26" s="63">
        <v>0.13</v>
      </c>
      <c r="W26" s="63">
        <v>0.99</v>
      </c>
      <c r="X26" s="63">
        <v>0.98599999999999999</v>
      </c>
      <c r="Y26" s="63">
        <v>0.46</v>
      </c>
      <c r="Z26" s="63">
        <f>0.9+0.19</f>
        <v>1.0900000000000001</v>
      </c>
      <c r="AA26" s="63">
        <v>0</v>
      </c>
      <c r="AB26" s="63">
        <v>0.89</v>
      </c>
      <c r="AC26" s="63">
        <v>0.22</v>
      </c>
      <c r="AD26" s="63">
        <v>0.98599999999999999</v>
      </c>
      <c r="AE26" s="63">
        <v>0</v>
      </c>
      <c r="AF26" s="63">
        <f>1.054-0.03-0.09</f>
        <v>0.93400000000000005</v>
      </c>
      <c r="AG26" s="63">
        <v>0</v>
      </c>
      <c r="AH26" s="60"/>
      <c r="AI26" s="20"/>
    </row>
    <row r="27" spans="1:35" s="22" customFormat="1" ht="78.75" customHeight="1" x14ac:dyDescent="0.25">
      <c r="A27" s="540"/>
      <c r="B27" s="552" t="s">
        <v>242</v>
      </c>
      <c r="C27" s="125" t="s">
        <v>20</v>
      </c>
      <c r="D27" s="70">
        <f>D29+D28</f>
        <v>107805.6</v>
      </c>
      <c r="E27" s="58">
        <f t="shared" ref="E27:G27" si="51">E29+E28</f>
        <v>82212.570000000007</v>
      </c>
      <c r="F27" s="58">
        <f t="shared" si="51"/>
        <v>82187.44</v>
      </c>
      <c r="G27" s="58">
        <f t="shared" si="51"/>
        <v>82187.44</v>
      </c>
      <c r="H27" s="58">
        <f t="shared" ref="H27" si="52">IFERROR(G27/D27*100,0)</f>
        <v>76.236707555080628</v>
      </c>
      <c r="I27" s="58">
        <f t="shared" ref="I27" si="53">IFERROR(G27/E27*100,0)</f>
        <v>99.969432898156569</v>
      </c>
      <c r="J27" s="59">
        <f>J29+J28</f>
        <v>8983.7999999999993</v>
      </c>
      <c r="K27" s="59">
        <f t="shared" ref="K27:AG27" si="54">K29+K28</f>
        <v>0</v>
      </c>
      <c r="L27" s="59">
        <f t="shared" si="54"/>
        <v>8983.7999999999993</v>
      </c>
      <c r="M27" s="59">
        <f t="shared" si="54"/>
        <v>0</v>
      </c>
      <c r="N27" s="59">
        <f t="shared" si="54"/>
        <v>8983.7999999999993</v>
      </c>
      <c r="O27" s="59">
        <f t="shared" si="54"/>
        <v>19445.669999999998</v>
      </c>
      <c r="P27" s="59">
        <f t="shared" si="54"/>
        <v>8983.7999999999993</v>
      </c>
      <c r="Q27" s="59">
        <f t="shared" si="54"/>
        <v>7708.8</v>
      </c>
      <c r="R27" s="59">
        <f t="shared" si="54"/>
        <v>23786.14</v>
      </c>
      <c r="S27" s="59">
        <f t="shared" si="54"/>
        <v>27154.47</v>
      </c>
      <c r="T27" s="59">
        <f t="shared" si="54"/>
        <v>9251</v>
      </c>
      <c r="U27" s="59">
        <f t="shared" si="54"/>
        <v>7973.23</v>
      </c>
      <c r="V27" s="59">
        <f t="shared" si="54"/>
        <v>1983.8</v>
      </c>
      <c r="W27" s="59">
        <f t="shared" si="54"/>
        <v>1983.8</v>
      </c>
      <c r="X27" s="59">
        <f t="shared" si="54"/>
        <v>5272.6099999999988</v>
      </c>
      <c r="Y27" s="59">
        <f t="shared" si="54"/>
        <v>4000</v>
      </c>
      <c r="Z27" s="59">
        <f t="shared" si="54"/>
        <v>5983.82</v>
      </c>
      <c r="AA27" s="59">
        <f t="shared" si="54"/>
        <v>5742.25</v>
      </c>
      <c r="AB27" s="59">
        <f t="shared" si="54"/>
        <v>8983.7999999999993</v>
      </c>
      <c r="AC27" s="59">
        <f t="shared" si="54"/>
        <v>8179.22</v>
      </c>
      <c r="AD27" s="59">
        <f t="shared" si="54"/>
        <v>8983.7999999999993</v>
      </c>
      <c r="AE27" s="59">
        <f t="shared" si="54"/>
        <v>0</v>
      </c>
      <c r="AF27" s="59">
        <f t="shared" si="54"/>
        <v>7625.4299999999994</v>
      </c>
      <c r="AG27" s="59">
        <f t="shared" si="54"/>
        <v>0</v>
      </c>
      <c r="AH27" s="60" t="s">
        <v>356</v>
      </c>
      <c r="AI27" s="20"/>
    </row>
    <row r="28" spans="1:35" s="22" customFormat="1" ht="27" hidden="1" customHeight="1" x14ac:dyDescent="0.25">
      <c r="A28" s="540"/>
      <c r="B28" s="552"/>
      <c r="C28" s="126" t="s">
        <v>22</v>
      </c>
      <c r="D28" s="74">
        <f>SUM(J28,L28,N28,P28,R28,T28,V28,X28,Z28,AB28,AD28,AF28)</f>
        <v>0</v>
      </c>
      <c r="E28" s="62">
        <f>J28</f>
        <v>0</v>
      </c>
      <c r="F28" s="62">
        <f>G28</f>
        <v>0</v>
      </c>
      <c r="G28" s="62">
        <f>SUM(K28,M28,O28,Q28,S28,U28,W28,Y28,AA28,AC28,AE28,AG28)</f>
        <v>0</v>
      </c>
      <c r="H28" s="62">
        <f>IFERROR(G28/D28*100,0)</f>
        <v>0</v>
      </c>
      <c r="I28" s="62">
        <f>IFERROR(G28/E28*100,0)</f>
        <v>0</v>
      </c>
      <c r="J28" s="63">
        <v>0</v>
      </c>
      <c r="K28" s="63">
        <v>0</v>
      </c>
      <c r="L28" s="63">
        <v>0</v>
      </c>
      <c r="M28" s="63">
        <v>0</v>
      </c>
      <c r="N28" s="63">
        <v>0</v>
      </c>
      <c r="O28" s="63">
        <v>0</v>
      </c>
      <c r="P28" s="63">
        <v>0</v>
      </c>
      <c r="Q28" s="63">
        <v>0</v>
      </c>
      <c r="R28" s="63">
        <v>0</v>
      </c>
      <c r="S28" s="63">
        <v>0</v>
      </c>
      <c r="T28" s="63">
        <v>0</v>
      </c>
      <c r="U28" s="63">
        <v>0</v>
      </c>
      <c r="V28" s="63">
        <v>0</v>
      </c>
      <c r="W28" s="63">
        <v>0</v>
      </c>
      <c r="X28" s="63">
        <v>0</v>
      </c>
      <c r="Y28" s="63">
        <v>0</v>
      </c>
      <c r="Z28" s="63">
        <v>0</v>
      </c>
      <c r="AA28" s="63">
        <v>0</v>
      </c>
      <c r="AB28" s="63">
        <v>0</v>
      </c>
      <c r="AC28" s="63">
        <v>0</v>
      </c>
      <c r="AD28" s="63">
        <v>0</v>
      </c>
      <c r="AE28" s="63">
        <v>0</v>
      </c>
      <c r="AF28" s="63">
        <v>0</v>
      </c>
      <c r="AG28" s="63">
        <v>0</v>
      </c>
      <c r="AH28" s="60"/>
      <c r="AI28" s="20"/>
    </row>
    <row r="29" spans="1:35" s="22" customFormat="1" ht="112.5" customHeight="1" x14ac:dyDescent="0.25">
      <c r="A29" s="541"/>
      <c r="B29" s="552"/>
      <c r="C29" s="126" t="s">
        <v>52</v>
      </c>
      <c r="D29" s="74">
        <f>SUM(J29,L29,N29,P29,R29,T29,V29,X29,Z29,AB29,AD29,AF29)</f>
        <v>107805.6</v>
      </c>
      <c r="E29" s="62">
        <f>J29+L29+N29+P29+R29+T29+V29+X29+Z29</f>
        <v>82212.570000000007</v>
      </c>
      <c r="F29" s="62">
        <f>G29</f>
        <v>82187.44</v>
      </c>
      <c r="G29" s="62">
        <f>SUM(K29,M29,O29,Q29,S29,U29,W29,Y29,AA29,AC29,AE29,AG29)</f>
        <v>82187.44</v>
      </c>
      <c r="H29" s="62">
        <f>IFERROR(G29/D29*100,0)</f>
        <v>76.236707555080628</v>
      </c>
      <c r="I29" s="62">
        <f>IFERROR(G29/E29*100,0)</f>
        <v>99.969432898156569</v>
      </c>
      <c r="J29" s="63">
        <v>8983.7999999999993</v>
      </c>
      <c r="K29" s="63">
        <v>0</v>
      </c>
      <c r="L29" s="63">
        <v>8983.7999999999993</v>
      </c>
      <c r="M29" s="63">
        <v>0</v>
      </c>
      <c r="N29" s="63">
        <v>8983.7999999999993</v>
      </c>
      <c r="O29" s="63">
        <v>19445.669999999998</v>
      </c>
      <c r="P29" s="63">
        <v>8983.7999999999993</v>
      </c>
      <c r="Q29" s="63">
        <v>7708.8</v>
      </c>
      <c r="R29" s="63">
        <f>14802.26+8983.88</f>
        <v>23786.14</v>
      </c>
      <c r="S29" s="63">
        <v>27154.47</v>
      </c>
      <c r="T29" s="63">
        <f>7267.2+1983.8</f>
        <v>9251</v>
      </c>
      <c r="U29" s="63">
        <v>7973.23</v>
      </c>
      <c r="V29" s="63">
        <v>1983.8</v>
      </c>
      <c r="W29" s="63">
        <v>1983.8</v>
      </c>
      <c r="X29" s="63">
        <f>8983.8-802.26-2908.93</f>
        <v>5272.6099999999988</v>
      </c>
      <c r="Y29" s="63">
        <v>4000</v>
      </c>
      <c r="Z29" s="63">
        <v>5983.82</v>
      </c>
      <c r="AA29" s="63">
        <v>5742.25</v>
      </c>
      <c r="AB29" s="63">
        <v>8983.7999999999993</v>
      </c>
      <c r="AC29" s="63">
        <v>8179.22</v>
      </c>
      <c r="AD29" s="63">
        <v>8983.7999999999993</v>
      </c>
      <c r="AE29" s="63">
        <v>0</v>
      </c>
      <c r="AF29" s="63">
        <f>8983.8-7267.2+5908.83</f>
        <v>7625.4299999999994</v>
      </c>
      <c r="AG29" s="63">
        <v>0</v>
      </c>
      <c r="AH29" s="60"/>
      <c r="AI29" s="20"/>
    </row>
    <row r="30" spans="1:35" s="22" customFormat="1" ht="63.75" customHeight="1" x14ac:dyDescent="0.25">
      <c r="A30" s="553"/>
      <c r="B30" s="550" t="s">
        <v>243</v>
      </c>
      <c r="C30" s="125" t="s">
        <v>20</v>
      </c>
      <c r="D30" s="70">
        <f>D32+D31</f>
        <v>1093.6999999999998</v>
      </c>
      <c r="E30" s="58">
        <f t="shared" ref="E30:G30" si="55">E32+E31</f>
        <v>820.25999999999988</v>
      </c>
      <c r="F30" s="58">
        <f t="shared" si="55"/>
        <v>738.56</v>
      </c>
      <c r="G30" s="58">
        <f t="shared" si="55"/>
        <v>738.56</v>
      </c>
      <c r="H30" s="58">
        <f t="shared" ref="H30" si="56">IFERROR(G30/D30*100,0)</f>
        <v>67.528572734753595</v>
      </c>
      <c r="I30" s="58">
        <f t="shared" ref="I30" si="57">IFERROR(G30/E30*100,0)</f>
        <v>90.0397434959647</v>
      </c>
      <c r="J30" s="59">
        <f>J32+J31</f>
        <v>91.14</v>
      </c>
      <c r="K30" s="59">
        <f t="shared" ref="K30:AG30" si="58">K32+K31</f>
        <v>0</v>
      </c>
      <c r="L30" s="59">
        <f t="shared" si="58"/>
        <v>91.14</v>
      </c>
      <c r="M30" s="59">
        <f t="shared" si="58"/>
        <v>0</v>
      </c>
      <c r="N30" s="59">
        <f t="shared" si="58"/>
        <v>91.14</v>
      </c>
      <c r="O30" s="59">
        <f t="shared" si="58"/>
        <v>240</v>
      </c>
      <c r="P30" s="59">
        <f t="shared" si="58"/>
        <v>91.14</v>
      </c>
      <c r="Q30" s="59">
        <f t="shared" si="58"/>
        <v>79.599999999999994</v>
      </c>
      <c r="R30" s="59">
        <f t="shared" si="58"/>
        <v>91.14</v>
      </c>
      <c r="S30" s="59">
        <f t="shared" si="58"/>
        <v>121.28</v>
      </c>
      <c r="T30" s="59">
        <f t="shared" si="58"/>
        <v>233.89999999999998</v>
      </c>
      <c r="U30" s="59">
        <f t="shared" si="58"/>
        <v>107.42</v>
      </c>
      <c r="V30" s="59">
        <f t="shared" si="58"/>
        <v>0</v>
      </c>
      <c r="W30" s="59">
        <f t="shared" si="58"/>
        <v>0</v>
      </c>
      <c r="X30" s="59">
        <f t="shared" si="58"/>
        <v>39.520000000000003</v>
      </c>
      <c r="Y30" s="59">
        <f t="shared" si="58"/>
        <v>39.520000000000003</v>
      </c>
      <c r="Z30" s="59">
        <f t="shared" si="58"/>
        <v>91.14</v>
      </c>
      <c r="AA30" s="59">
        <f t="shared" si="58"/>
        <v>69.91</v>
      </c>
      <c r="AB30" s="59">
        <f t="shared" si="58"/>
        <v>91.14</v>
      </c>
      <c r="AC30" s="59">
        <f t="shared" si="58"/>
        <v>80.83</v>
      </c>
      <c r="AD30" s="59">
        <f t="shared" si="58"/>
        <v>91.14</v>
      </c>
      <c r="AE30" s="59">
        <f t="shared" si="58"/>
        <v>0</v>
      </c>
      <c r="AF30" s="59">
        <f t="shared" si="58"/>
        <v>91.16</v>
      </c>
      <c r="AG30" s="59">
        <f t="shared" si="58"/>
        <v>0</v>
      </c>
      <c r="AH30" s="60" t="s">
        <v>356</v>
      </c>
      <c r="AI30" s="20"/>
    </row>
    <row r="31" spans="1:35" s="22" customFormat="1" ht="96.75" customHeight="1" x14ac:dyDescent="0.25">
      <c r="A31" s="549"/>
      <c r="B31" s="551"/>
      <c r="C31" s="126" t="s">
        <v>52</v>
      </c>
      <c r="D31" s="74">
        <f>SUM(J31,L31,N31,P31,R31,T31,V31,X31,Z31,AB31,AD31,AF31)</f>
        <v>1093.6999999999998</v>
      </c>
      <c r="E31" s="62">
        <f>J31+L31+N31+P31+R31+T31+V31+X31+Z31</f>
        <v>820.25999999999988</v>
      </c>
      <c r="F31" s="62">
        <f>G31</f>
        <v>738.56</v>
      </c>
      <c r="G31" s="62">
        <f>SUM(K31,M31,O31,Q31,S31,U31,W31,Y31,AA31,AC31,AE31,AG31)</f>
        <v>738.56</v>
      </c>
      <c r="H31" s="62">
        <f>IFERROR(G31/D31*100,0)</f>
        <v>67.528572734753595</v>
      </c>
      <c r="I31" s="62">
        <f>IFERROR(G31/E31*100,0)</f>
        <v>90.0397434959647</v>
      </c>
      <c r="J31" s="63">
        <v>91.14</v>
      </c>
      <c r="K31" s="63">
        <v>0</v>
      </c>
      <c r="L31" s="63">
        <v>91.14</v>
      </c>
      <c r="M31" s="63">
        <v>0</v>
      </c>
      <c r="N31" s="63">
        <v>91.14</v>
      </c>
      <c r="O31" s="63">
        <v>240</v>
      </c>
      <c r="P31" s="63">
        <v>91.14</v>
      </c>
      <c r="Q31" s="63">
        <v>79.599999999999994</v>
      </c>
      <c r="R31" s="63">
        <v>91.14</v>
      </c>
      <c r="S31" s="63">
        <v>121.28</v>
      </c>
      <c r="T31" s="63">
        <f>142.76+91.14</f>
        <v>233.89999999999998</v>
      </c>
      <c r="U31" s="63">
        <v>107.42</v>
      </c>
      <c r="V31" s="63">
        <v>0</v>
      </c>
      <c r="W31" s="63">
        <v>0</v>
      </c>
      <c r="X31" s="63">
        <v>39.520000000000003</v>
      </c>
      <c r="Y31" s="63">
        <v>39.520000000000003</v>
      </c>
      <c r="Z31" s="63">
        <v>91.14</v>
      </c>
      <c r="AA31" s="63">
        <v>69.91</v>
      </c>
      <c r="AB31" s="63">
        <v>91.14</v>
      </c>
      <c r="AC31" s="63">
        <v>80.83</v>
      </c>
      <c r="AD31" s="63">
        <v>91.14</v>
      </c>
      <c r="AE31" s="63">
        <v>0</v>
      </c>
      <c r="AF31" s="63">
        <v>91.16</v>
      </c>
      <c r="AG31" s="63">
        <v>0</v>
      </c>
      <c r="AH31" s="63"/>
      <c r="AI31" s="20"/>
    </row>
    <row r="32" spans="1:35" s="22" customFormat="1" ht="12" hidden="1" customHeight="1" x14ac:dyDescent="0.25">
      <c r="A32" s="554"/>
      <c r="B32" s="551"/>
      <c r="C32" s="139" t="s">
        <v>21</v>
      </c>
      <c r="D32" s="140">
        <f>SUM(J32,L32,N32,P32,R32,T32,V32,X32,Z32,AB32,AD32,AF32)</f>
        <v>0</v>
      </c>
      <c r="E32" s="141">
        <f>J32</f>
        <v>0</v>
      </c>
      <c r="F32" s="141">
        <f>G32</f>
        <v>0</v>
      </c>
      <c r="G32" s="141">
        <f>SUM(K32,M32,O32,Q32,S32,U32,W32,Y32,AA32,AC32,AE32,AG32)</f>
        <v>0</v>
      </c>
      <c r="H32" s="141">
        <f>IFERROR(G32/D32*100,0)</f>
        <v>0</v>
      </c>
      <c r="I32" s="141">
        <f>IFERROR(G32/E32*100,0)</f>
        <v>0</v>
      </c>
      <c r="J32" s="154">
        <v>0</v>
      </c>
      <c r="K32" s="154">
        <v>0</v>
      </c>
      <c r="L32" s="154">
        <v>0</v>
      </c>
      <c r="M32" s="154">
        <v>0</v>
      </c>
      <c r="N32" s="154">
        <v>0</v>
      </c>
      <c r="O32" s="154">
        <v>0</v>
      </c>
      <c r="P32" s="154">
        <v>0</v>
      </c>
      <c r="Q32" s="154">
        <v>0</v>
      </c>
      <c r="R32" s="154">
        <v>0</v>
      </c>
      <c r="S32" s="154">
        <v>0</v>
      </c>
      <c r="T32" s="154">
        <v>0</v>
      </c>
      <c r="U32" s="154">
        <v>0</v>
      </c>
      <c r="V32" s="154">
        <v>0</v>
      </c>
      <c r="W32" s="154">
        <v>0</v>
      </c>
      <c r="X32" s="154">
        <v>0</v>
      </c>
      <c r="Y32" s="154">
        <v>0</v>
      </c>
      <c r="Z32" s="154">
        <v>0</v>
      </c>
      <c r="AA32" s="154">
        <v>0</v>
      </c>
      <c r="AB32" s="154">
        <v>0</v>
      </c>
      <c r="AC32" s="154">
        <v>0</v>
      </c>
      <c r="AD32" s="154">
        <v>0</v>
      </c>
      <c r="AE32" s="154">
        <v>0</v>
      </c>
      <c r="AF32" s="154">
        <v>0</v>
      </c>
      <c r="AG32" s="154">
        <v>0</v>
      </c>
      <c r="AH32" s="48"/>
      <c r="AI32" s="20"/>
    </row>
    <row r="33" spans="1:35" s="22" customFormat="1" ht="28.5" customHeight="1" x14ac:dyDescent="0.25">
      <c r="A33" s="545" t="s">
        <v>37</v>
      </c>
      <c r="B33" s="542" t="s">
        <v>244</v>
      </c>
      <c r="C33" s="125" t="s">
        <v>20</v>
      </c>
      <c r="D33" s="70">
        <f>D37+D36+D34+D35</f>
        <v>3470905.7929999996</v>
      </c>
      <c r="E33" s="70">
        <f t="shared" ref="E33:G33" si="59">E37+E36+E34+E35</f>
        <v>2966057.6129999999</v>
      </c>
      <c r="F33" s="70">
        <f t="shared" si="59"/>
        <v>2635844.6609999998</v>
      </c>
      <c r="G33" s="70">
        <f t="shared" si="59"/>
        <v>2635844.6609999998</v>
      </c>
      <c r="H33" s="58">
        <f t="shared" ref="H33:H35" si="60">IFERROR(G33/D33*100,0)</f>
        <v>75.941117915556177</v>
      </c>
      <c r="I33" s="58">
        <f t="shared" ref="I33:I35" si="61">IFERROR(G33/E33*100,0)</f>
        <v>88.866940731268926</v>
      </c>
      <c r="J33" s="59">
        <f>J37+J36+J34+J35</f>
        <v>306156.929</v>
      </c>
      <c r="K33" s="59">
        <f t="shared" ref="K33:AG33" si="62">K37+K36+K34+K35</f>
        <v>117626.914</v>
      </c>
      <c r="L33" s="59">
        <f t="shared" si="62"/>
        <v>437852.69800000003</v>
      </c>
      <c r="M33" s="59">
        <f t="shared" si="62"/>
        <v>159963.647</v>
      </c>
      <c r="N33" s="59">
        <f t="shared" si="62"/>
        <v>355650.79600000003</v>
      </c>
      <c r="O33" s="59">
        <f t="shared" si="62"/>
        <v>443550.96</v>
      </c>
      <c r="P33" s="59">
        <f t="shared" si="62"/>
        <v>312108.83400000003</v>
      </c>
      <c r="Q33" s="59">
        <f t="shared" si="62"/>
        <v>408916.74</v>
      </c>
      <c r="R33" s="59">
        <f t="shared" si="62"/>
        <v>197793.807</v>
      </c>
      <c r="S33" s="59">
        <f t="shared" si="62"/>
        <v>249075.71999999997</v>
      </c>
      <c r="T33" s="59">
        <f t="shared" si="62"/>
        <v>286676.88999999996</v>
      </c>
      <c r="U33" s="59">
        <f t="shared" si="62"/>
        <v>464611.82999999996</v>
      </c>
      <c r="V33" s="59">
        <f t="shared" si="62"/>
        <v>447515.99300000002</v>
      </c>
      <c r="W33" s="59">
        <f t="shared" si="62"/>
        <v>444624.18</v>
      </c>
      <c r="X33" s="59">
        <f t="shared" si="62"/>
        <v>129084.80099999999</v>
      </c>
      <c r="Y33" s="59">
        <f t="shared" si="62"/>
        <v>90196.14</v>
      </c>
      <c r="Z33" s="59">
        <f t="shared" si="62"/>
        <v>185512.5</v>
      </c>
      <c r="AA33" s="59">
        <f t="shared" si="62"/>
        <v>144896.62</v>
      </c>
      <c r="AB33" s="59">
        <f t="shared" si="62"/>
        <v>307704.36499999999</v>
      </c>
      <c r="AC33" s="59">
        <f t="shared" si="62"/>
        <v>112381.91</v>
      </c>
      <c r="AD33" s="59">
        <f t="shared" si="62"/>
        <v>201197.09600000002</v>
      </c>
      <c r="AE33" s="59">
        <f t="shared" si="62"/>
        <v>0</v>
      </c>
      <c r="AF33" s="59">
        <f t="shared" si="62"/>
        <v>303651.08400000003</v>
      </c>
      <c r="AG33" s="59">
        <f t="shared" si="62"/>
        <v>0</v>
      </c>
      <c r="AH33" s="60" t="s">
        <v>356</v>
      </c>
      <c r="AI33" s="20"/>
    </row>
    <row r="34" spans="1:35" s="22" customFormat="1" ht="28.5" customHeight="1" x14ac:dyDescent="0.25">
      <c r="A34" s="546"/>
      <c r="B34" s="543"/>
      <c r="C34" s="126" t="s">
        <v>52</v>
      </c>
      <c r="D34" s="74">
        <f>SUM(J34,L34,N34,P34,R34,T34,V34,X34,Z34,AB34,AD34,AF34)</f>
        <v>24359.297000000006</v>
      </c>
      <c r="E34" s="74">
        <f>J34+L34+N34+P34+R34+T34+V34+X34+Z34+AB34</f>
        <v>15632.091000000004</v>
      </c>
      <c r="F34" s="74">
        <f t="shared" ref="F34:F35" si="63">G34</f>
        <v>10817.710000000001</v>
      </c>
      <c r="G34" s="74">
        <f t="shared" ref="G34:G35" si="64">SUM(K34,M34,O34,Q34,S34,U34,W34,Y34,AA34,AC34,AE34,AG34)</f>
        <v>10817.710000000001</v>
      </c>
      <c r="H34" s="74">
        <f t="shared" si="60"/>
        <v>44.408958107452769</v>
      </c>
      <c r="I34" s="74">
        <f t="shared" si="61"/>
        <v>69.201938499462415</v>
      </c>
      <c r="J34" s="63">
        <f>J68</f>
        <v>0</v>
      </c>
      <c r="K34" s="63">
        <f>K68</f>
        <v>0</v>
      </c>
      <c r="L34" s="63">
        <f t="shared" ref="L34:AG34" si="65">L68</f>
        <v>2950.25</v>
      </c>
      <c r="M34" s="63">
        <f t="shared" si="65"/>
        <v>2950.25</v>
      </c>
      <c r="N34" s="63">
        <f t="shared" si="65"/>
        <v>2582.19</v>
      </c>
      <c r="O34" s="63">
        <f t="shared" si="65"/>
        <v>2582.19</v>
      </c>
      <c r="P34" s="63">
        <f t="shared" si="65"/>
        <v>2701.1570000000002</v>
      </c>
      <c r="Q34" s="63">
        <f t="shared" si="65"/>
        <v>2189.46</v>
      </c>
      <c r="R34" s="63">
        <f t="shared" si="65"/>
        <v>1562.4680000000001</v>
      </c>
      <c r="S34" s="63">
        <f>S68</f>
        <v>2299.88</v>
      </c>
      <c r="T34" s="63">
        <f t="shared" si="65"/>
        <v>1021.645</v>
      </c>
      <c r="U34" s="63">
        <f t="shared" si="65"/>
        <v>795.93</v>
      </c>
      <c r="V34" s="63">
        <f t="shared" si="65"/>
        <v>0</v>
      </c>
      <c r="W34" s="63">
        <f t="shared" si="65"/>
        <v>0</v>
      </c>
      <c r="X34" s="63">
        <f t="shared" si="65"/>
        <v>0</v>
      </c>
      <c r="Y34" s="63">
        <f t="shared" si="65"/>
        <v>0</v>
      </c>
      <c r="Z34" s="63">
        <f t="shared" si="65"/>
        <v>1758.44</v>
      </c>
      <c r="AA34" s="63">
        <f t="shared" si="65"/>
        <v>0</v>
      </c>
      <c r="AB34" s="63">
        <f t="shared" si="65"/>
        <v>3055.9409999999998</v>
      </c>
      <c r="AC34" s="63">
        <f t="shared" si="65"/>
        <v>0</v>
      </c>
      <c r="AD34" s="63">
        <f t="shared" si="65"/>
        <v>2831.2150000000001</v>
      </c>
      <c r="AE34" s="63">
        <f t="shared" si="65"/>
        <v>0</v>
      </c>
      <c r="AF34" s="63">
        <f t="shared" si="65"/>
        <v>5895.991</v>
      </c>
      <c r="AG34" s="63">
        <f t="shared" si="65"/>
        <v>0</v>
      </c>
      <c r="AH34" s="60"/>
      <c r="AI34" s="20"/>
    </row>
    <row r="35" spans="1:35" s="22" customFormat="1" ht="28.5" customHeight="1" x14ac:dyDescent="0.25">
      <c r="A35" s="546"/>
      <c r="B35" s="543"/>
      <c r="C35" s="126" t="s">
        <v>22</v>
      </c>
      <c r="D35" s="74">
        <f t="shared" ref="D35" si="66">SUM(J35,L35,N35,P35,R35,T35,V35,X35,Z35,AB35,AD35,AF35)</f>
        <v>2725304.3229999994</v>
      </c>
      <c r="E35" s="74">
        <f t="shared" ref="E35:E37" si="67">J35+L35+N35+P35+R35+T35+V35+X35+Z35+AB35</f>
        <v>2325548.4269999997</v>
      </c>
      <c r="F35" s="74">
        <f t="shared" si="63"/>
        <v>2011586.0260000001</v>
      </c>
      <c r="G35" s="74">
        <f t="shared" si="64"/>
        <v>2011586.0260000001</v>
      </c>
      <c r="H35" s="74">
        <f t="shared" si="60"/>
        <v>73.811427554103673</v>
      </c>
      <c r="I35" s="74">
        <f t="shared" si="61"/>
        <v>86.499425367588799</v>
      </c>
      <c r="J35" s="63">
        <f t="shared" ref="J35:AG35" si="68">J39+J69</f>
        <v>206387.655</v>
      </c>
      <c r="K35" s="63">
        <f t="shared" si="68"/>
        <v>44274.716</v>
      </c>
      <c r="L35" s="63">
        <f t="shared" si="68"/>
        <v>356087.23200000002</v>
      </c>
      <c r="M35" s="63">
        <f t="shared" si="68"/>
        <v>81316.7</v>
      </c>
      <c r="N35" s="63">
        <f t="shared" si="68"/>
        <v>282000.29600000003</v>
      </c>
      <c r="O35" s="63">
        <f t="shared" si="68"/>
        <v>368818.98000000004</v>
      </c>
      <c r="P35" s="63">
        <f t="shared" si="68"/>
        <v>244820.45600000001</v>
      </c>
      <c r="Q35" s="63">
        <f t="shared" si="68"/>
        <v>340968.76</v>
      </c>
      <c r="R35" s="63">
        <f t="shared" si="68"/>
        <v>133243.51999999999</v>
      </c>
      <c r="S35" s="63">
        <f t="shared" si="68"/>
        <v>183080.58999999997</v>
      </c>
      <c r="T35" s="63">
        <f t="shared" si="68"/>
        <v>227839.75199999998</v>
      </c>
      <c r="U35" s="63">
        <f t="shared" si="68"/>
        <v>407638.1</v>
      </c>
      <c r="V35" s="63">
        <f t="shared" si="68"/>
        <v>381275.71100000001</v>
      </c>
      <c r="W35" s="63">
        <f t="shared" si="68"/>
        <v>379615.37</v>
      </c>
      <c r="X35" s="63">
        <f t="shared" si="68"/>
        <v>98103.665999999997</v>
      </c>
      <c r="Y35" s="63">
        <f t="shared" si="68"/>
        <v>59215</v>
      </c>
      <c r="Z35" s="63">
        <f t="shared" si="68"/>
        <v>143661.13699999999</v>
      </c>
      <c r="AA35" s="63">
        <f t="shared" si="68"/>
        <v>111600</v>
      </c>
      <c r="AB35" s="63">
        <f t="shared" si="68"/>
        <v>252129.00200000001</v>
      </c>
      <c r="AC35" s="63">
        <f t="shared" si="68"/>
        <v>35057.81</v>
      </c>
      <c r="AD35" s="63">
        <f t="shared" si="68"/>
        <v>139488.723</v>
      </c>
      <c r="AE35" s="63">
        <f t="shared" si="68"/>
        <v>0</v>
      </c>
      <c r="AF35" s="63">
        <f t="shared" si="68"/>
        <v>260267.17300000001</v>
      </c>
      <c r="AG35" s="63">
        <f t="shared" si="68"/>
        <v>0</v>
      </c>
      <c r="AH35" s="60"/>
      <c r="AI35" s="20"/>
    </row>
    <row r="36" spans="1:35" s="26" customFormat="1" ht="45" customHeight="1" x14ac:dyDescent="0.25">
      <c r="A36" s="546"/>
      <c r="B36" s="543"/>
      <c r="C36" s="124" t="s">
        <v>21</v>
      </c>
      <c r="D36" s="74">
        <f>SUM(J36,L36,N36,P36,R36,T36,V36,X36,Z36,AB36,AD36,AF36)</f>
        <v>601347.09499999997</v>
      </c>
      <c r="E36" s="74">
        <f t="shared" si="67"/>
        <v>512891.587</v>
      </c>
      <c r="F36" s="74">
        <f>G36</f>
        <v>515778.78699999995</v>
      </c>
      <c r="G36" s="74">
        <f>SUM(K36,M36,O36,Q36,S36,U36,W36,Y36,AA36,AC36,AE36,AG36)</f>
        <v>515778.78699999995</v>
      </c>
      <c r="H36" s="74">
        <f>IFERROR(G36/D36*100,0)</f>
        <v>85.770562673126406</v>
      </c>
      <c r="I36" s="74">
        <f>IFERROR(G36/E36*100,0)</f>
        <v>100.56292598147061</v>
      </c>
      <c r="J36" s="67">
        <f t="shared" ref="J36:AG36" si="69">J40+J62+J70</f>
        <v>68407.093999999997</v>
      </c>
      <c r="K36" s="67">
        <f t="shared" si="69"/>
        <v>67633.275999999998</v>
      </c>
      <c r="L36" s="67">
        <f t="shared" si="69"/>
        <v>64923.885999999999</v>
      </c>
      <c r="M36" s="67">
        <f t="shared" si="69"/>
        <v>64481.410999999993</v>
      </c>
      <c r="N36" s="67">
        <f t="shared" si="69"/>
        <v>60169.048999999999</v>
      </c>
      <c r="O36" s="67">
        <f t="shared" si="69"/>
        <v>60874.889999999992</v>
      </c>
      <c r="P36" s="67">
        <f t="shared" si="69"/>
        <v>54882.752999999997</v>
      </c>
      <c r="Q36" s="67">
        <f t="shared" si="69"/>
        <v>55191.46</v>
      </c>
      <c r="R36" s="67">
        <f t="shared" si="69"/>
        <v>54256.466</v>
      </c>
      <c r="S36" s="67">
        <f t="shared" si="69"/>
        <v>54555.519999999997</v>
      </c>
      <c r="T36" s="67">
        <f t="shared" si="69"/>
        <v>49373.814999999995</v>
      </c>
      <c r="U36" s="67">
        <f t="shared" si="69"/>
        <v>50088.659999999996</v>
      </c>
      <c r="V36" s="67">
        <f t="shared" si="69"/>
        <v>60074.81</v>
      </c>
      <c r="W36" s="67">
        <f t="shared" si="69"/>
        <v>60008.81</v>
      </c>
      <c r="X36" s="67">
        <f t="shared" si="69"/>
        <v>25008.82</v>
      </c>
      <c r="Y36" s="67">
        <f t="shared" si="69"/>
        <v>25008.82</v>
      </c>
      <c r="Z36" s="67">
        <f t="shared" si="69"/>
        <v>30160.091999999997</v>
      </c>
      <c r="AA36" s="67">
        <f t="shared" si="69"/>
        <v>26132.55</v>
      </c>
      <c r="AB36" s="67">
        <f t="shared" si="69"/>
        <v>45634.802000000003</v>
      </c>
      <c r="AC36" s="67">
        <f t="shared" si="69"/>
        <v>51803.39</v>
      </c>
      <c r="AD36" s="67">
        <f t="shared" si="69"/>
        <v>52887.477000000006</v>
      </c>
      <c r="AE36" s="67">
        <f t="shared" si="69"/>
        <v>0</v>
      </c>
      <c r="AF36" s="67">
        <f t="shared" si="69"/>
        <v>35568.031000000003</v>
      </c>
      <c r="AG36" s="67">
        <f t="shared" si="69"/>
        <v>0</v>
      </c>
      <c r="AH36" s="72"/>
      <c r="AI36" s="24"/>
    </row>
    <row r="37" spans="1:35" s="26" customFormat="1" ht="31.5" customHeight="1" x14ac:dyDescent="0.25">
      <c r="A37" s="540"/>
      <c r="B37" s="543"/>
      <c r="C37" s="124" t="s">
        <v>113</v>
      </c>
      <c r="D37" s="74">
        <f>SUM(J37,L37,N37,P37,R37,T37,V37,X37,Z37,AB37,AD37,AF37)</f>
        <v>119895.07799999999</v>
      </c>
      <c r="E37" s="74">
        <f t="shared" si="67"/>
        <v>111985.508</v>
      </c>
      <c r="F37" s="74">
        <f>G37</f>
        <v>97662.138000000006</v>
      </c>
      <c r="G37" s="74">
        <f>SUM(K37,M37,O37,Q37,S37,U37,W37,Y37,AA37,AC37,AE37,AG37)</f>
        <v>97662.138000000006</v>
      </c>
      <c r="H37" s="74">
        <f>IFERROR(G37/D37*100,0)</f>
        <v>81.456336347685607</v>
      </c>
      <c r="I37" s="74">
        <f>IFERROR(G37/E37*100,0)</f>
        <v>87.209621802135331</v>
      </c>
      <c r="J37" s="67">
        <f>J41</f>
        <v>31362.18</v>
      </c>
      <c r="K37" s="67">
        <f>K41</f>
        <v>5718.9219999999996</v>
      </c>
      <c r="L37" s="67">
        <f t="shared" ref="L37:M37" si="70">L41</f>
        <v>13891.33</v>
      </c>
      <c r="M37" s="67">
        <f t="shared" si="70"/>
        <v>11215.286</v>
      </c>
      <c r="N37" s="67">
        <f t="shared" ref="N37:AG37" si="71">N41</f>
        <v>10899.261</v>
      </c>
      <c r="O37" s="67">
        <f t="shared" si="71"/>
        <v>11274.9</v>
      </c>
      <c r="P37" s="67">
        <f t="shared" si="71"/>
        <v>9704.4680000000008</v>
      </c>
      <c r="Q37" s="67">
        <f t="shared" si="71"/>
        <v>10567.06</v>
      </c>
      <c r="R37" s="67">
        <f t="shared" si="71"/>
        <v>8731.3529999999992</v>
      </c>
      <c r="S37" s="67">
        <f t="shared" si="71"/>
        <v>9139.73</v>
      </c>
      <c r="T37" s="67">
        <f t="shared" si="71"/>
        <v>8441.6779999999999</v>
      </c>
      <c r="U37" s="67">
        <f t="shared" si="71"/>
        <v>6089.14</v>
      </c>
      <c r="V37" s="67">
        <f t="shared" si="71"/>
        <v>6165.4719999999998</v>
      </c>
      <c r="W37" s="67">
        <f t="shared" si="71"/>
        <v>5000</v>
      </c>
      <c r="X37" s="67">
        <f t="shared" si="71"/>
        <v>5972.3149999999996</v>
      </c>
      <c r="Y37" s="67">
        <f t="shared" si="71"/>
        <v>5972.32</v>
      </c>
      <c r="Z37" s="67">
        <f t="shared" si="71"/>
        <v>9932.8310000000001</v>
      </c>
      <c r="AA37" s="67">
        <f t="shared" si="71"/>
        <v>7164.07</v>
      </c>
      <c r="AB37" s="67">
        <f t="shared" si="71"/>
        <v>6884.62</v>
      </c>
      <c r="AC37" s="67">
        <f t="shared" si="71"/>
        <v>25520.71</v>
      </c>
      <c r="AD37" s="67">
        <f t="shared" si="71"/>
        <v>5989.6809999999996</v>
      </c>
      <c r="AE37" s="67">
        <f t="shared" si="71"/>
        <v>0</v>
      </c>
      <c r="AF37" s="67">
        <f t="shared" si="71"/>
        <v>1919.8890000000024</v>
      </c>
      <c r="AG37" s="67">
        <f t="shared" si="71"/>
        <v>0</v>
      </c>
      <c r="AH37" s="72"/>
      <c r="AI37" s="24"/>
    </row>
    <row r="38" spans="1:35" s="22" customFormat="1" ht="37.5" customHeight="1" x14ac:dyDescent="0.25">
      <c r="A38" s="547"/>
      <c r="B38" s="555" t="s">
        <v>245</v>
      </c>
      <c r="C38" s="125" t="s">
        <v>20</v>
      </c>
      <c r="D38" s="70">
        <f>D41+D40</f>
        <v>681622.576</v>
      </c>
      <c r="E38" s="58">
        <f t="shared" ref="E38:G38" si="72">E41+E40</f>
        <v>595838.34499999997</v>
      </c>
      <c r="F38" s="58">
        <f t="shared" si="72"/>
        <v>591581.71900000004</v>
      </c>
      <c r="G38" s="58">
        <f t="shared" si="72"/>
        <v>591581.71900000004</v>
      </c>
      <c r="H38" s="58">
        <f t="shared" ref="H38" si="73">IFERROR(G38/D38*100,0)</f>
        <v>86.79021790498912</v>
      </c>
      <c r="I38" s="58">
        <f t="shared" ref="I38" si="74">IFERROR(G38/E38*100,0)</f>
        <v>99.28560723966163</v>
      </c>
      <c r="J38" s="59">
        <f>J41+J40</f>
        <v>97073.19200000001</v>
      </c>
      <c r="K38" s="59">
        <f t="shared" ref="K38:AG38" si="75">K41+K40</f>
        <v>71429.932000000001</v>
      </c>
      <c r="L38" s="59">
        <f t="shared" si="75"/>
        <v>73891.33</v>
      </c>
      <c r="M38" s="59">
        <f t="shared" si="75"/>
        <v>70823.536999999997</v>
      </c>
      <c r="N38" s="59">
        <f t="shared" si="75"/>
        <v>67103.057000000001</v>
      </c>
      <c r="O38" s="59">
        <f t="shared" si="75"/>
        <v>67485</v>
      </c>
      <c r="P38" s="59">
        <f t="shared" si="75"/>
        <v>60190.091</v>
      </c>
      <c r="Q38" s="59">
        <f t="shared" si="75"/>
        <v>61802.2</v>
      </c>
      <c r="R38" s="59">
        <f t="shared" si="75"/>
        <v>58904.614000000001</v>
      </c>
      <c r="S38" s="59">
        <f t="shared" si="75"/>
        <v>59763.929999999993</v>
      </c>
      <c r="T38" s="59">
        <f t="shared" si="75"/>
        <v>56173.424999999996</v>
      </c>
      <c r="U38" s="59">
        <f t="shared" si="75"/>
        <v>53852.04</v>
      </c>
      <c r="V38" s="59">
        <f t="shared" si="75"/>
        <v>66165.471999999994</v>
      </c>
      <c r="W38" s="59">
        <f t="shared" si="75"/>
        <v>65000</v>
      </c>
      <c r="X38" s="59">
        <f t="shared" si="75"/>
        <v>30972.314999999999</v>
      </c>
      <c r="Y38" s="59">
        <f t="shared" si="75"/>
        <v>30972.32</v>
      </c>
      <c r="Z38" s="59">
        <f t="shared" si="75"/>
        <v>37258.087999999996</v>
      </c>
      <c r="AA38" s="59">
        <f t="shared" si="75"/>
        <v>33296.619999999995</v>
      </c>
      <c r="AB38" s="59">
        <f t="shared" si="75"/>
        <v>48106.761000000006</v>
      </c>
      <c r="AC38" s="59">
        <f t="shared" si="75"/>
        <v>77156.14</v>
      </c>
      <c r="AD38" s="59">
        <f t="shared" si="75"/>
        <v>54718.644</v>
      </c>
      <c r="AE38" s="59">
        <f t="shared" si="75"/>
        <v>0</v>
      </c>
      <c r="AF38" s="59">
        <f t="shared" si="75"/>
        <v>31065.587000000003</v>
      </c>
      <c r="AG38" s="59">
        <f t="shared" si="75"/>
        <v>0</v>
      </c>
      <c r="AH38" s="60"/>
      <c r="AI38" s="20"/>
    </row>
    <row r="39" spans="1:35" s="22" customFormat="1" ht="39.75" customHeight="1" x14ac:dyDescent="0.25">
      <c r="A39" s="548"/>
      <c r="B39" s="556"/>
      <c r="C39" s="126" t="s">
        <v>22</v>
      </c>
      <c r="D39" s="74">
        <f>SUM(J39,L39,N39,P39,R39,T39,V39,X39,Z39,AB39,AD39,AF39)</f>
        <v>2546854.6240000003</v>
      </c>
      <c r="E39" s="62">
        <f>J39+L39+N39+P39+R39+T39+V39+X39+Z39+AB39</f>
        <v>2182362.8600000003</v>
      </c>
      <c r="F39" s="62">
        <f>G39</f>
        <v>1902980.2760000001</v>
      </c>
      <c r="G39" s="62">
        <f>SUM(K39,M39,O39,Q39,S39,U39,W39,Y39,AA39,AC39,AE39,AG39)</f>
        <v>1902980.2760000001</v>
      </c>
      <c r="H39" s="62">
        <f>IFERROR(G39/D39*100,0)</f>
        <v>74.718841745715594</v>
      </c>
      <c r="I39" s="62">
        <f>IFERROR(G39/E39*100,0)</f>
        <v>87.198160804477752</v>
      </c>
      <c r="J39" s="63">
        <f>J47+J49+J51+J54+J56+J44+J58</f>
        <v>195560.851</v>
      </c>
      <c r="K39" s="63">
        <f t="shared" ref="K39:AG39" si="76">K47+K49+K51+K54+K56+K44+K58</f>
        <v>39229.65</v>
      </c>
      <c r="L39" s="63">
        <f t="shared" si="76"/>
        <v>332116.91800000001</v>
      </c>
      <c r="M39" s="63">
        <f t="shared" si="76"/>
        <v>54997.305999999997</v>
      </c>
      <c r="N39" s="63">
        <f t="shared" si="76"/>
        <v>253670.861</v>
      </c>
      <c r="O39" s="63">
        <f t="shared" si="76"/>
        <v>337454.52</v>
      </c>
      <c r="P39" s="63">
        <f t="shared" si="76"/>
        <v>224573.44</v>
      </c>
      <c r="Q39" s="63">
        <f t="shared" si="76"/>
        <v>327187.24</v>
      </c>
      <c r="R39" s="63">
        <f t="shared" si="76"/>
        <v>112443.32799999999</v>
      </c>
      <c r="S39" s="63">
        <f t="shared" si="76"/>
        <v>157830.52999999997</v>
      </c>
      <c r="T39" s="63">
        <f t="shared" si="76"/>
        <v>221321.38099999999</v>
      </c>
      <c r="U39" s="63">
        <f t="shared" si="76"/>
        <v>400792.85</v>
      </c>
      <c r="V39" s="63">
        <f t="shared" si="76"/>
        <v>381275.71100000001</v>
      </c>
      <c r="W39" s="63">
        <f t="shared" si="76"/>
        <v>379615.37</v>
      </c>
      <c r="X39" s="63">
        <f t="shared" si="76"/>
        <v>98103.665999999997</v>
      </c>
      <c r="Y39" s="63">
        <f t="shared" si="76"/>
        <v>59215</v>
      </c>
      <c r="Z39" s="63">
        <f t="shared" si="76"/>
        <v>131912.166</v>
      </c>
      <c r="AA39" s="63">
        <f t="shared" si="76"/>
        <v>111600</v>
      </c>
      <c r="AB39" s="63">
        <f t="shared" si="76"/>
        <v>231384.538</v>
      </c>
      <c r="AC39" s="63">
        <f t="shared" si="76"/>
        <v>35057.81</v>
      </c>
      <c r="AD39" s="63">
        <f t="shared" si="76"/>
        <v>119450.68100000001</v>
      </c>
      <c r="AE39" s="63">
        <f t="shared" si="76"/>
        <v>0</v>
      </c>
      <c r="AF39" s="63">
        <f t="shared" si="76"/>
        <v>245041.08300000001</v>
      </c>
      <c r="AG39" s="63">
        <f t="shared" si="76"/>
        <v>0</v>
      </c>
      <c r="AH39" s="60"/>
      <c r="AI39" s="20"/>
    </row>
    <row r="40" spans="1:35" s="22" customFormat="1" ht="42.75" customHeight="1" x14ac:dyDescent="0.25">
      <c r="A40" s="548"/>
      <c r="B40" s="556"/>
      <c r="C40" s="126" t="s">
        <v>21</v>
      </c>
      <c r="D40" s="74">
        <f>SUM(J40,L40,N40,P40,R40,T40,V40,X40,Z40,AB40,AD40,AF40)</f>
        <v>561727.49800000002</v>
      </c>
      <c r="E40" s="62">
        <f t="shared" ref="E40:E41" si="77">J40+L40+N40+P40+R40+T40+V40+X40+Z40+AB40</f>
        <v>483852.837</v>
      </c>
      <c r="F40" s="62">
        <f>G40</f>
        <v>493919.58100000001</v>
      </c>
      <c r="G40" s="62">
        <f>SUM(K40,M40,O40,Q40,S40,U40,W40,Y40,AA40,AC40,AE40,AG40)</f>
        <v>493919.58100000001</v>
      </c>
      <c r="H40" s="62">
        <f>IFERROR(G40/D40*100,0)</f>
        <v>87.928681212611735</v>
      </c>
      <c r="I40" s="62">
        <f>IFERROR(G40/E40*100,0)</f>
        <v>102.08053838485604</v>
      </c>
      <c r="J40" s="63">
        <f>J43+J57</f>
        <v>65711.012000000002</v>
      </c>
      <c r="K40" s="63">
        <f t="shared" ref="K40:AG40" si="78">K43+K57</f>
        <v>65711.009999999995</v>
      </c>
      <c r="L40" s="63">
        <f t="shared" si="78"/>
        <v>60000</v>
      </c>
      <c r="M40" s="63">
        <f t="shared" si="78"/>
        <v>59608.250999999997</v>
      </c>
      <c r="N40" s="63">
        <f t="shared" si="78"/>
        <v>56203.796000000002</v>
      </c>
      <c r="O40" s="63">
        <f t="shared" si="78"/>
        <v>56210.1</v>
      </c>
      <c r="P40" s="63">
        <f t="shared" si="78"/>
        <v>50485.623</v>
      </c>
      <c r="Q40" s="63">
        <f t="shared" si="78"/>
        <v>51235.14</v>
      </c>
      <c r="R40" s="63">
        <f t="shared" si="78"/>
        <v>50173.260999999999</v>
      </c>
      <c r="S40" s="63">
        <f t="shared" si="78"/>
        <v>50624.2</v>
      </c>
      <c r="T40" s="63">
        <f t="shared" si="78"/>
        <v>47731.746999999996</v>
      </c>
      <c r="U40" s="63">
        <f t="shared" si="78"/>
        <v>47762.9</v>
      </c>
      <c r="V40" s="63">
        <f t="shared" si="78"/>
        <v>60000</v>
      </c>
      <c r="W40" s="63">
        <f t="shared" si="78"/>
        <v>60000</v>
      </c>
      <c r="X40" s="63">
        <f t="shared" si="78"/>
        <v>25000</v>
      </c>
      <c r="Y40" s="63">
        <f t="shared" si="78"/>
        <v>25000</v>
      </c>
      <c r="Z40" s="63">
        <f t="shared" si="78"/>
        <v>27325.256999999998</v>
      </c>
      <c r="AA40" s="63">
        <f t="shared" si="78"/>
        <v>26132.55</v>
      </c>
      <c r="AB40" s="63">
        <f t="shared" si="78"/>
        <v>41222.141000000003</v>
      </c>
      <c r="AC40" s="63">
        <f t="shared" si="78"/>
        <v>51635.43</v>
      </c>
      <c r="AD40" s="63">
        <f t="shared" si="78"/>
        <v>48728.963000000003</v>
      </c>
      <c r="AE40" s="63">
        <f t="shared" si="78"/>
        <v>0</v>
      </c>
      <c r="AF40" s="63">
        <f t="shared" si="78"/>
        <v>29145.698</v>
      </c>
      <c r="AG40" s="63">
        <f t="shared" si="78"/>
        <v>0</v>
      </c>
      <c r="AH40" s="60"/>
      <c r="AI40" s="20"/>
    </row>
    <row r="41" spans="1:35" s="22" customFormat="1" ht="37.5" customHeight="1" x14ac:dyDescent="0.25">
      <c r="A41" s="549"/>
      <c r="B41" s="556"/>
      <c r="C41" s="126" t="s">
        <v>113</v>
      </c>
      <c r="D41" s="74">
        <f>SUM(J41,L41,N41,P41,R41,T41,V41,X41,Z41,AB41,AD41,AF41)</f>
        <v>119895.07799999999</v>
      </c>
      <c r="E41" s="62">
        <f t="shared" si="77"/>
        <v>111985.508</v>
      </c>
      <c r="F41" s="62">
        <f>G41</f>
        <v>97662.138000000006</v>
      </c>
      <c r="G41" s="62">
        <f>SUM(K41,M41,O41,Q41,S41,U41,W41,Y41,AA41,AC41,AE41,AG41)</f>
        <v>97662.138000000006</v>
      </c>
      <c r="H41" s="62">
        <f>IFERROR(G41/D41*100,0)</f>
        <v>81.456336347685607</v>
      </c>
      <c r="I41" s="62">
        <f>IFERROR(G41/E41*100,0)</f>
        <v>87.209621802135331</v>
      </c>
      <c r="J41" s="63">
        <f>J45</f>
        <v>31362.18</v>
      </c>
      <c r="K41" s="63">
        <f t="shared" ref="K41:AG41" si="79">K45</f>
        <v>5718.9219999999996</v>
      </c>
      <c r="L41" s="63">
        <f t="shared" si="79"/>
        <v>13891.33</v>
      </c>
      <c r="M41" s="63">
        <f t="shared" si="79"/>
        <v>11215.286</v>
      </c>
      <c r="N41" s="63">
        <f t="shared" si="79"/>
        <v>10899.261</v>
      </c>
      <c r="O41" s="63">
        <f t="shared" si="79"/>
        <v>11274.9</v>
      </c>
      <c r="P41" s="63">
        <f t="shared" si="79"/>
        <v>9704.4680000000008</v>
      </c>
      <c r="Q41" s="63">
        <f t="shared" si="79"/>
        <v>10567.06</v>
      </c>
      <c r="R41" s="63">
        <f t="shared" si="79"/>
        <v>8731.3529999999992</v>
      </c>
      <c r="S41" s="63">
        <f t="shared" si="79"/>
        <v>9139.73</v>
      </c>
      <c r="T41" s="63">
        <f t="shared" si="79"/>
        <v>8441.6779999999999</v>
      </c>
      <c r="U41" s="63">
        <f t="shared" si="79"/>
        <v>6089.14</v>
      </c>
      <c r="V41" s="63">
        <f t="shared" si="79"/>
        <v>6165.4719999999998</v>
      </c>
      <c r="W41" s="63">
        <f t="shared" si="79"/>
        <v>5000</v>
      </c>
      <c r="X41" s="63">
        <f t="shared" si="79"/>
        <v>5972.3149999999996</v>
      </c>
      <c r="Y41" s="63">
        <f t="shared" si="79"/>
        <v>5972.32</v>
      </c>
      <c r="Z41" s="63">
        <f t="shared" si="79"/>
        <v>9932.8310000000001</v>
      </c>
      <c r="AA41" s="63">
        <f t="shared" si="79"/>
        <v>7164.07</v>
      </c>
      <c r="AB41" s="63">
        <f t="shared" si="79"/>
        <v>6884.62</v>
      </c>
      <c r="AC41" s="63">
        <f t="shared" si="79"/>
        <v>25520.71</v>
      </c>
      <c r="AD41" s="63">
        <f t="shared" si="79"/>
        <v>5989.6809999999996</v>
      </c>
      <c r="AE41" s="63">
        <f t="shared" si="79"/>
        <v>0</v>
      </c>
      <c r="AF41" s="63">
        <f t="shared" si="79"/>
        <v>1919.8890000000024</v>
      </c>
      <c r="AG41" s="63">
        <f t="shared" si="79"/>
        <v>0</v>
      </c>
      <c r="AH41" s="60"/>
      <c r="AI41" s="20"/>
    </row>
    <row r="42" spans="1:35" s="22" customFormat="1" ht="23.25" customHeight="1" x14ac:dyDescent="0.25">
      <c r="A42" s="558"/>
      <c r="B42" s="561" t="s">
        <v>246</v>
      </c>
      <c r="C42" s="126" t="s">
        <v>20</v>
      </c>
      <c r="D42" s="74">
        <f>D45+D43+D44</f>
        <v>681960.576</v>
      </c>
      <c r="E42" s="74">
        <f>E45+E43+E44</f>
        <v>596176.34499999997</v>
      </c>
      <c r="F42" s="74">
        <f t="shared" ref="F42:H42" si="80">F45+F43+F44</f>
        <v>591919.71900000004</v>
      </c>
      <c r="G42" s="74">
        <f t="shared" si="80"/>
        <v>591919.71900000004</v>
      </c>
      <c r="H42" s="74">
        <f t="shared" si="80"/>
        <v>269.38501756029734</v>
      </c>
      <c r="I42" s="74">
        <f>I45+I43+I44</f>
        <v>289.29016018699139</v>
      </c>
      <c r="J42" s="74">
        <f t="shared" ref="J42" si="81">J45+J43+J44</f>
        <v>97073.19200000001</v>
      </c>
      <c r="K42" s="63">
        <f t="shared" ref="K42:AG42" si="82">K45+K43</f>
        <v>71429.932000000001</v>
      </c>
      <c r="L42" s="63">
        <f t="shared" si="82"/>
        <v>73891.33</v>
      </c>
      <c r="M42" s="63">
        <f t="shared" si="82"/>
        <v>70823.536999999997</v>
      </c>
      <c r="N42" s="63">
        <f t="shared" si="82"/>
        <v>67103.057000000001</v>
      </c>
      <c r="O42" s="63">
        <f t="shared" si="82"/>
        <v>67485</v>
      </c>
      <c r="P42" s="63">
        <f t="shared" si="82"/>
        <v>60190.091</v>
      </c>
      <c r="Q42" s="63">
        <f t="shared" si="82"/>
        <v>61802.2</v>
      </c>
      <c r="R42" s="63">
        <f t="shared" si="82"/>
        <v>58904.614000000001</v>
      </c>
      <c r="S42" s="63">
        <f t="shared" si="82"/>
        <v>59763.929999999993</v>
      </c>
      <c r="T42" s="63">
        <f t="shared" si="82"/>
        <v>56173.424999999996</v>
      </c>
      <c r="U42" s="63">
        <f t="shared" si="82"/>
        <v>53852.04</v>
      </c>
      <c r="V42" s="63">
        <f t="shared" si="82"/>
        <v>66165.471999999994</v>
      </c>
      <c r="W42" s="63">
        <f t="shared" si="82"/>
        <v>65000</v>
      </c>
      <c r="X42" s="63">
        <f t="shared" si="82"/>
        <v>30972.314999999999</v>
      </c>
      <c r="Y42" s="63">
        <f t="shared" si="82"/>
        <v>30972.32</v>
      </c>
      <c r="Z42" s="63">
        <f t="shared" si="82"/>
        <v>37258.087999999996</v>
      </c>
      <c r="AA42" s="63">
        <f t="shared" si="82"/>
        <v>33296.619999999995</v>
      </c>
      <c r="AB42" s="63">
        <f t="shared" si="82"/>
        <v>48106.761000000006</v>
      </c>
      <c r="AC42" s="63">
        <f t="shared" si="82"/>
        <v>77156.14</v>
      </c>
      <c r="AD42" s="63">
        <f t="shared" si="82"/>
        <v>54718.644</v>
      </c>
      <c r="AE42" s="63">
        <f t="shared" si="82"/>
        <v>0</v>
      </c>
      <c r="AF42" s="63">
        <f t="shared" si="82"/>
        <v>31065.587000000003</v>
      </c>
      <c r="AG42" s="63">
        <f t="shared" si="82"/>
        <v>0</v>
      </c>
      <c r="AH42" s="64"/>
      <c r="AI42" s="20"/>
    </row>
    <row r="43" spans="1:35" s="22" customFormat="1" ht="33.75" customHeight="1" x14ac:dyDescent="0.25">
      <c r="A43" s="559"/>
      <c r="B43" s="562"/>
      <c r="C43" s="126" t="s">
        <v>21</v>
      </c>
      <c r="D43" s="74">
        <f>SUM(J43,L43,N43,P43,R43,T43,V43,X43,Z43,AB43,AD43,AF43)</f>
        <v>561727.49800000002</v>
      </c>
      <c r="E43" s="62">
        <f>J43+L43+N43+P43+R43+T43+V43+X43+Z43+AB43</f>
        <v>483852.837</v>
      </c>
      <c r="F43" s="62">
        <f>G43</f>
        <v>493919.58100000001</v>
      </c>
      <c r="G43" s="62">
        <f>SUM(K43,M43,O43,Q43,S43,U43,W43,Y43,AA43,AC43,AE43,AG43)</f>
        <v>493919.58100000001</v>
      </c>
      <c r="H43" s="62">
        <f>IFERROR(G43/D43*100,0)</f>
        <v>87.928681212611735</v>
      </c>
      <c r="I43" s="62">
        <f>IFERROR(G43/E43*100,0)</f>
        <v>102.08053838485604</v>
      </c>
      <c r="J43" s="63">
        <v>65711.012000000002</v>
      </c>
      <c r="K43" s="63">
        <v>65711.009999999995</v>
      </c>
      <c r="L43" s="63">
        <v>60000</v>
      </c>
      <c r="M43" s="63">
        <v>59608.250999999997</v>
      </c>
      <c r="N43" s="63">
        <v>56203.796000000002</v>
      </c>
      <c r="O43" s="63">
        <v>56210.1</v>
      </c>
      <c r="P43" s="63">
        <f>2178.32+48307.303</f>
        <v>50485.623</v>
      </c>
      <c r="Q43" s="63">
        <v>51235.14</v>
      </c>
      <c r="R43" s="63">
        <f>49626.801+546.46</f>
        <v>50173.260999999999</v>
      </c>
      <c r="S43" s="63">
        <v>50624.2</v>
      </c>
      <c r="T43" s="63">
        <f>7452.46+40279.287</f>
        <v>47731.746999999996</v>
      </c>
      <c r="U43" s="63">
        <v>47762.9</v>
      </c>
      <c r="V43" s="63">
        <v>60000</v>
      </c>
      <c r="W43" s="63">
        <v>60000</v>
      </c>
      <c r="X43" s="63">
        <v>25000</v>
      </c>
      <c r="Y43" s="63">
        <v>25000</v>
      </c>
      <c r="Z43" s="63">
        <f>29843.427-2518.17</f>
        <v>27325.256999999998</v>
      </c>
      <c r="AA43" s="63">
        <v>26132.55</v>
      </c>
      <c r="AB43" s="63">
        <f>31768.601-546.46+10000</f>
        <v>41222.141000000003</v>
      </c>
      <c r="AC43" s="63">
        <f>11879.94+39755.49</f>
        <v>51635.43</v>
      </c>
      <c r="AD43" s="63">
        <f>5000+28218.963+2946.3+12563.7</f>
        <v>48728.963000000003</v>
      </c>
      <c r="AE43" s="63">
        <v>0</v>
      </c>
      <c r="AF43" s="63">
        <f>26784.398-2225.7+4587</f>
        <v>29145.698</v>
      </c>
      <c r="AG43" s="63">
        <v>0</v>
      </c>
      <c r="AH43" s="64"/>
      <c r="AI43" s="20"/>
    </row>
    <row r="44" spans="1:35" s="22" customFormat="1" ht="33.75" customHeight="1" x14ac:dyDescent="0.25">
      <c r="A44" s="559"/>
      <c r="B44" s="562"/>
      <c r="C44" s="126" t="s">
        <v>22</v>
      </c>
      <c r="D44" s="74">
        <f>SUM(J44,L44,N44,P44,R44,T44,V44,X44,Z44,AB44,AD44,AF44)</f>
        <v>338</v>
      </c>
      <c r="E44" s="62">
        <f t="shared" ref="E44:E45" si="83">J44+L44+N44+P44+R44+T44+V44+X44+Z44+AB44</f>
        <v>338</v>
      </c>
      <c r="F44" s="62">
        <f>G44</f>
        <v>338</v>
      </c>
      <c r="G44" s="62">
        <f>SUM(K44,M44,O44,Q44,S44,U44,W44,Y44,AA44,AC44,AE44,AG44)</f>
        <v>338</v>
      </c>
      <c r="H44" s="62">
        <f>IFERROR(G44/D44*100,0)</f>
        <v>100</v>
      </c>
      <c r="I44" s="62">
        <f>IFERROR(G44/E44*100,0)</f>
        <v>100</v>
      </c>
      <c r="J44" s="63"/>
      <c r="K44" s="63"/>
      <c r="L44" s="63"/>
      <c r="M44" s="63"/>
      <c r="N44" s="63">
        <v>338</v>
      </c>
      <c r="O44" s="63">
        <v>108</v>
      </c>
      <c r="P44" s="63"/>
      <c r="Q44" s="63"/>
      <c r="R44" s="63"/>
      <c r="S44" s="63">
        <v>230</v>
      </c>
      <c r="T44" s="63"/>
      <c r="U44" s="63"/>
      <c r="V44" s="63"/>
      <c r="W44" s="63"/>
      <c r="X44" s="63"/>
      <c r="Y44" s="63"/>
      <c r="Z44" s="63"/>
      <c r="AA44" s="63"/>
      <c r="AB44" s="63"/>
      <c r="AC44" s="63"/>
      <c r="AD44" s="63"/>
      <c r="AE44" s="63"/>
      <c r="AF44" s="63"/>
      <c r="AG44" s="63"/>
      <c r="AH44" s="64"/>
      <c r="AI44" s="20"/>
    </row>
    <row r="45" spans="1:35" s="22" customFormat="1" ht="28.5" customHeight="1" x14ac:dyDescent="0.25">
      <c r="A45" s="560"/>
      <c r="B45" s="563"/>
      <c r="C45" s="126" t="s">
        <v>113</v>
      </c>
      <c r="D45" s="74">
        <f>SUM(J45,L45,N45,P45,R45,T45,V45,X45,Z45,AB45,AD45,AF45)</f>
        <v>119895.07799999999</v>
      </c>
      <c r="E45" s="62">
        <f t="shared" si="83"/>
        <v>111985.508</v>
      </c>
      <c r="F45" s="62">
        <f>G45</f>
        <v>97662.138000000006</v>
      </c>
      <c r="G45" s="62">
        <f>SUM(K45,M45,O45,Q45,S45,U45,W45,Y45,AA45,AC45,AE45,AG45)</f>
        <v>97662.138000000006</v>
      </c>
      <c r="H45" s="62">
        <f>IFERROR(G45/D45*100,0)</f>
        <v>81.456336347685607</v>
      </c>
      <c r="I45" s="62">
        <f>IFERROR(G45/E45*100,0)</f>
        <v>87.209621802135331</v>
      </c>
      <c r="J45" s="63">
        <v>31362.18</v>
      </c>
      <c r="K45" s="63">
        <v>5718.9219999999996</v>
      </c>
      <c r="L45" s="63">
        <v>13891.33</v>
      </c>
      <c r="M45" s="63">
        <v>11215.286</v>
      </c>
      <c r="N45" s="63">
        <v>10899.261</v>
      </c>
      <c r="O45" s="63">
        <v>11274.9</v>
      </c>
      <c r="P45" s="63">
        <v>9704.4680000000008</v>
      </c>
      <c r="Q45" s="63">
        <v>10567.06</v>
      </c>
      <c r="R45" s="63">
        <v>8731.3529999999992</v>
      </c>
      <c r="S45" s="63">
        <v>9139.73</v>
      </c>
      <c r="T45" s="63">
        <f>1935.01+6506.668</f>
        <v>8441.6779999999999</v>
      </c>
      <c r="U45" s="63">
        <v>6089.14</v>
      </c>
      <c r="V45" s="63">
        <v>6165.4719999999998</v>
      </c>
      <c r="W45" s="63">
        <v>5000</v>
      </c>
      <c r="X45" s="63">
        <v>5972.3149999999996</v>
      </c>
      <c r="Y45" s="63">
        <v>5972.32</v>
      </c>
      <c r="Z45" s="63">
        <f>3952.9+5979.931</f>
        <v>9932.8310000000001</v>
      </c>
      <c r="AA45" s="63">
        <v>7164.07</v>
      </c>
      <c r="AB45" s="63">
        <v>6884.62</v>
      </c>
      <c r="AC45" s="63">
        <v>25520.71</v>
      </c>
      <c r="AD45" s="63">
        <v>5989.6809999999996</v>
      </c>
      <c r="AE45" s="63">
        <v>0</v>
      </c>
      <c r="AF45" s="63">
        <f>22562.669-17655.05-2059.91-927.82</f>
        <v>1919.8890000000024</v>
      </c>
      <c r="AG45" s="63">
        <v>0</v>
      </c>
      <c r="AH45" s="64"/>
      <c r="AI45" s="20"/>
    </row>
    <row r="46" spans="1:35" s="22" customFormat="1" ht="77.25" customHeight="1" x14ac:dyDescent="0.25">
      <c r="A46" s="152"/>
      <c r="B46" s="557" t="s">
        <v>247</v>
      </c>
      <c r="C46" s="126" t="s">
        <v>20</v>
      </c>
      <c r="D46" s="74">
        <f t="shared" ref="D46:E46" si="84">D47</f>
        <v>2432171.906</v>
      </c>
      <c r="E46" s="62">
        <f t="shared" si="84"/>
        <v>2094340.0140000002</v>
      </c>
      <c r="F46" s="62">
        <f t="shared" ref="F46:F48" si="85">G46</f>
        <v>1822695.855</v>
      </c>
      <c r="G46" s="62">
        <f>G47</f>
        <v>1822695.855</v>
      </c>
      <c r="H46" s="62">
        <f t="shared" ref="H46:H50" si="86">IFERROR(G46/D46*100,0)</f>
        <v>74.941078404184154</v>
      </c>
      <c r="I46" s="62">
        <f t="shared" ref="I46:I50" si="87">IFERROR(G46/E46*100,0)</f>
        <v>87.029605642629903</v>
      </c>
      <c r="J46" s="62">
        <f t="shared" ref="J46:AG46" si="88">J47</f>
        <v>189901.766</v>
      </c>
      <c r="K46" s="62">
        <f t="shared" si="88"/>
        <v>38211.910000000003</v>
      </c>
      <c r="L46" s="62">
        <f t="shared" si="88"/>
        <v>316255.65000000002</v>
      </c>
      <c r="M46" s="62">
        <f t="shared" si="88"/>
        <v>40344.345000000001</v>
      </c>
      <c r="N46" s="62">
        <f t="shared" si="88"/>
        <v>242332.639</v>
      </c>
      <c r="O46" s="62">
        <f t="shared" si="88"/>
        <v>325347.32</v>
      </c>
      <c r="P46" s="62">
        <f t="shared" si="88"/>
        <v>212215.00899999999</v>
      </c>
      <c r="Q46" s="62">
        <f t="shared" si="88"/>
        <v>315359.42</v>
      </c>
      <c r="R46" s="62">
        <f t="shared" si="88"/>
        <v>101204.897</v>
      </c>
      <c r="S46" s="62">
        <f t="shared" si="88"/>
        <v>145342.32999999999</v>
      </c>
      <c r="T46" s="62">
        <f t="shared" si="88"/>
        <v>210618.63699999999</v>
      </c>
      <c r="U46" s="62">
        <f t="shared" si="88"/>
        <v>389856.41</v>
      </c>
      <c r="V46" s="62">
        <f t="shared" si="88"/>
        <v>377685.36499999999</v>
      </c>
      <c r="W46" s="62">
        <f t="shared" si="88"/>
        <v>377685.37</v>
      </c>
      <c r="X46" s="62">
        <f t="shared" si="88"/>
        <v>95421.072</v>
      </c>
      <c r="Y46" s="62">
        <f t="shared" si="88"/>
        <v>57285</v>
      </c>
      <c r="Z46" s="62">
        <f t="shared" si="88"/>
        <v>130036.44100000001</v>
      </c>
      <c r="AA46" s="62">
        <f t="shared" si="88"/>
        <v>110000</v>
      </c>
      <c r="AB46" s="62">
        <f>AB47</f>
        <v>218668.538</v>
      </c>
      <c r="AC46" s="62">
        <f t="shared" si="88"/>
        <v>23263.75</v>
      </c>
      <c r="AD46" s="62">
        <f t="shared" si="88"/>
        <v>109478.251</v>
      </c>
      <c r="AE46" s="62">
        <f t="shared" si="88"/>
        <v>0</v>
      </c>
      <c r="AF46" s="62">
        <f>AF47</f>
        <v>228353.641</v>
      </c>
      <c r="AG46" s="62">
        <f t="shared" si="88"/>
        <v>0</v>
      </c>
      <c r="AH46" s="64"/>
      <c r="AI46" s="20"/>
    </row>
    <row r="47" spans="1:35" s="22" customFormat="1" ht="71.25" customHeight="1" x14ac:dyDescent="0.25">
      <c r="A47" s="152"/>
      <c r="B47" s="557"/>
      <c r="C47" s="126" t="s">
        <v>22</v>
      </c>
      <c r="D47" s="74">
        <f t="shared" ref="D47" si="89">SUM(J47,L47,N47,P47,R47,T47,V47,X47,Z47,AB47,AD47,AF47)</f>
        <v>2432171.906</v>
      </c>
      <c r="E47" s="62">
        <f>J47+L47+N47+P47+R47+T47+V47+X47+Z47+AB47</f>
        <v>2094340.0140000002</v>
      </c>
      <c r="F47" s="62">
        <f>G47</f>
        <v>1822695.855</v>
      </c>
      <c r="G47" s="62">
        <f>SUM(K47,M47,O47,Q47,S47,U47,W47,Y47,AA47,AC47,AE47,AG47)</f>
        <v>1822695.855</v>
      </c>
      <c r="H47" s="62">
        <f t="shared" si="86"/>
        <v>74.941078404184154</v>
      </c>
      <c r="I47" s="62">
        <f t="shared" si="87"/>
        <v>87.029605642629903</v>
      </c>
      <c r="J47" s="63">
        <v>189901.766</v>
      </c>
      <c r="K47" s="63">
        <v>38211.910000000003</v>
      </c>
      <c r="L47" s="63">
        <v>316255.65000000002</v>
      </c>
      <c r="M47" s="63">
        <v>40344.345000000001</v>
      </c>
      <c r="N47" s="63">
        <v>242332.639</v>
      </c>
      <c r="O47" s="63">
        <v>325347.32</v>
      </c>
      <c r="P47" s="63">
        <v>212215.00899999999</v>
      </c>
      <c r="Q47" s="63">
        <v>315359.42</v>
      </c>
      <c r="R47" s="63">
        <f>356506.087-255301.19</f>
        <v>101204.897</v>
      </c>
      <c r="S47" s="63">
        <v>145342.32999999999</v>
      </c>
      <c r="T47" s="63">
        <v>210618.63699999999</v>
      </c>
      <c r="U47" s="63">
        <v>389856.41</v>
      </c>
      <c r="V47" s="63">
        <f>255301.19+122384.175</f>
        <v>377685.36499999999</v>
      </c>
      <c r="W47" s="63">
        <v>377685.37</v>
      </c>
      <c r="X47" s="63">
        <v>95421.072</v>
      </c>
      <c r="Y47" s="63">
        <v>57285</v>
      </c>
      <c r="Z47" s="63">
        <v>130036.44100000001</v>
      </c>
      <c r="AA47" s="63">
        <v>110000</v>
      </c>
      <c r="AB47" s="63">
        <f>94952.81+123715.728</f>
        <v>218668.538</v>
      </c>
      <c r="AC47" s="63">
        <v>23263.75</v>
      </c>
      <c r="AD47" s="63">
        <v>109478.251</v>
      </c>
      <c r="AE47" s="63">
        <v>0</v>
      </c>
      <c r="AF47" s="63">
        <v>228353.641</v>
      </c>
      <c r="AG47" s="63">
        <v>0</v>
      </c>
      <c r="AH47" s="64"/>
      <c r="AI47" s="20"/>
    </row>
    <row r="48" spans="1:35" s="22" customFormat="1" ht="62.25" customHeight="1" x14ac:dyDescent="0.25">
      <c r="A48" s="152"/>
      <c r="B48" s="557" t="s">
        <v>248</v>
      </c>
      <c r="C48" s="126" t="s">
        <v>20</v>
      </c>
      <c r="D48" s="74">
        <f t="shared" ref="D48:E48" si="90">D49</f>
        <v>54412.998</v>
      </c>
      <c r="E48" s="62">
        <f t="shared" si="90"/>
        <v>44454.146000000001</v>
      </c>
      <c r="F48" s="62">
        <f t="shared" si="85"/>
        <v>37247.856999999996</v>
      </c>
      <c r="G48" s="62">
        <f>G49</f>
        <v>37247.856999999996</v>
      </c>
      <c r="H48" s="62">
        <f t="shared" si="86"/>
        <v>68.453969399002773</v>
      </c>
      <c r="I48" s="62">
        <f t="shared" si="87"/>
        <v>83.789388283378557</v>
      </c>
      <c r="J48" s="62">
        <f t="shared" ref="J48:AG48" si="91">J49</f>
        <v>4729.085</v>
      </c>
      <c r="K48" s="62">
        <f t="shared" si="91"/>
        <v>1017.74</v>
      </c>
      <c r="L48" s="62">
        <f t="shared" si="91"/>
        <v>4931.268</v>
      </c>
      <c r="M48" s="62">
        <f t="shared" si="91"/>
        <v>4075.4470000000001</v>
      </c>
      <c r="N48" s="62">
        <f t="shared" si="91"/>
        <v>5070.2219999999998</v>
      </c>
      <c r="O48" s="62">
        <f t="shared" si="91"/>
        <v>5310.01</v>
      </c>
      <c r="P48" s="62">
        <f t="shared" si="91"/>
        <v>5128.4309999999996</v>
      </c>
      <c r="Q48" s="62">
        <f t="shared" si="91"/>
        <v>5000</v>
      </c>
      <c r="R48" s="62">
        <f t="shared" si="91"/>
        <v>5058.4309999999996</v>
      </c>
      <c r="S48" s="62">
        <f t="shared" si="91"/>
        <v>5290.86</v>
      </c>
      <c r="T48" s="62">
        <f t="shared" si="91"/>
        <v>3848.0439999999999</v>
      </c>
      <c r="U48" s="62">
        <f t="shared" si="91"/>
        <v>3979.74</v>
      </c>
      <c r="V48" s="62">
        <f t="shared" si="91"/>
        <v>2660.346</v>
      </c>
      <c r="W48" s="62">
        <f t="shared" si="91"/>
        <v>1000</v>
      </c>
      <c r="X48" s="62">
        <f t="shared" si="91"/>
        <v>1752.5940000000001</v>
      </c>
      <c r="Y48" s="62">
        <f t="shared" si="91"/>
        <v>1000</v>
      </c>
      <c r="Z48" s="62">
        <f t="shared" si="91"/>
        <v>1275.7249999999999</v>
      </c>
      <c r="AA48" s="62">
        <f t="shared" si="91"/>
        <v>1000</v>
      </c>
      <c r="AB48" s="62">
        <f t="shared" si="91"/>
        <v>10000</v>
      </c>
      <c r="AC48" s="62">
        <f t="shared" si="91"/>
        <v>9574.06</v>
      </c>
      <c r="AD48" s="62">
        <f t="shared" si="91"/>
        <v>7972.43</v>
      </c>
      <c r="AE48" s="62">
        <f t="shared" si="91"/>
        <v>0</v>
      </c>
      <c r="AF48" s="62">
        <f t="shared" si="91"/>
        <v>1986.422</v>
      </c>
      <c r="AG48" s="62">
        <f t="shared" si="91"/>
        <v>0</v>
      </c>
      <c r="AH48" s="64"/>
      <c r="AI48" s="20"/>
    </row>
    <row r="49" spans="1:35" s="22" customFormat="1" ht="105.75" customHeight="1" x14ac:dyDescent="0.25">
      <c r="A49" s="152"/>
      <c r="B49" s="557"/>
      <c r="C49" s="126" t="s">
        <v>22</v>
      </c>
      <c r="D49" s="74">
        <f t="shared" ref="D49" si="92">SUM(J49,L49,N49,P49,R49,T49,V49,X49,Z49,AB49,AD49,AF49)</f>
        <v>54412.998</v>
      </c>
      <c r="E49" s="62">
        <f>J49+L49+N49+P49+R49+T49+V49+X49+Z49+AB49</f>
        <v>44454.146000000001</v>
      </c>
      <c r="F49" s="62">
        <f>G49</f>
        <v>37247.856999999996</v>
      </c>
      <c r="G49" s="62">
        <f>SUM(K49,M49,O49,Q49,S49,U49,W49,Y49,AA49,AC49,AE49,AG49)</f>
        <v>37247.856999999996</v>
      </c>
      <c r="H49" s="62">
        <f t="shared" si="86"/>
        <v>68.453969399002773</v>
      </c>
      <c r="I49" s="62">
        <f t="shared" si="87"/>
        <v>83.789388283378557</v>
      </c>
      <c r="J49" s="63">
        <v>4729.085</v>
      </c>
      <c r="K49" s="63">
        <v>1017.74</v>
      </c>
      <c r="L49" s="63">
        <v>4931.268</v>
      </c>
      <c r="M49" s="63">
        <v>4075.4470000000001</v>
      </c>
      <c r="N49" s="63">
        <v>5070.2219999999998</v>
      </c>
      <c r="O49" s="63">
        <v>5310.01</v>
      </c>
      <c r="P49" s="63">
        <v>5128.4309999999996</v>
      </c>
      <c r="Q49" s="63">
        <v>5000</v>
      </c>
      <c r="R49" s="63">
        <v>5058.4309999999996</v>
      </c>
      <c r="S49" s="63">
        <v>5290.86</v>
      </c>
      <c r="T49" s="63">
        <v>3848.0439999999999</v>
      </c>
      <c r="U49" s="63">
        <v>3979.74</v>
      </c>
      <c r="V49" s="63">
        <v>2660.346</v>
      </c>
      <c r="W49" s="63">
        <v>1000</v>
      </c>
      <c r="X49" s="63">
        <v>1752.5940000000001</v>
      </c>
      <c r="Y49" s="63">
        <v>1000</v>
      </c>
      <c r="Z49" s="63">
        <v>1275.7249999999999</v>
      </c>
      <c r="AA49" s="63">
        <v>1000</v>
      </c>
      <c r="AB49" s="63">
        <v>10000</v>
      </c>
      <c r="AC49" s="63">
        <v>9574.06</v>
      </c>
      <c r="AD49" s="63">
        <v>7972.43</v>
      </c>
      <c r="AE49" s="63">
        <v>0</v>
      </c>
      <c r="AF49" s="63">
        <f>994.83+991.592</f>
        <v>1986.422</v>
      </c>
      <c r="AG49" s="63">
        <v>0</v>
      </c>
      <c r="AH49" s="64"/>
      <c r="AI49" s="20"/>
    </row>
    <row r="50" spans="1:35" s="22" customFormat="1" ht="90.75" customHeight="1" x14ac:dyDescent="0.25">
      <c r="A50" s="564"/>
      <c r="B50" s="561" t="s">
        <v>249</v>
      </c>
      <c r="C50" s="126" t="s">
        <v>20</v>
      </c>
      <c r="D50" s="74">
        <f>D52+D51</f>
        <v>13776</v>
      </c>
      <c r="E50" s="62">
        <f t="shared" ref="E50:G50" si="93">E52+E51</f>
        <v>10860</v>
      </c>
      <c r="F50" s="62">
        <f t="shared" si="93"/>
        <v>10364</v>
      </c>
      <c r="G50" s="62">
        <f t="shared" si="93"/>
        <v>10364</v>
      </c>
      <c r="H50" s="62">
        <f t="shared" si="86"/>
        <v>75.232288037166086</v>
      </c>
      <c r="I50" s="62">
        <f t="shared" si="87"/>
        <v>95.432780847145494</v>
      </c>
      <c r="J50" s="63">
        <f>J52+J51</f>
        <v>930</v>
      </c>
      <c r="K50" s="63">
        <f t="shared" ref="K50:AG50" si="94">K52+K51</f>
        <v>0</v>
      </c>
      <c r="L50" s="63">
        <f t="shared" si="94"/>
        <v>930</v>
      </c>
      <c r="M50" s="63">
        <f t="shared" si="94"/>
        <v>1300</v>
      </c>
      <c r="N50" s="63">
        <f t="shared" si="94"/>
        <v>930</v>
      </c>
      <c r="O50" s="63">
        <f t="shared" si="94"/>
        <v>1060</v>
      </c>
      <c r="P50" s="63">
        <f t="shared" si="94"/>
        <v>930</v>
      </c>
      <c r="Q50" s="67">
        <f t="shared" si="94"/>
        <v>1076</v>
      </c>
      <c r="R50" s="63">
        <f t="shared" si="94"/>
        <v>930</v>
      </c>
      <c r="S50" s="63">
        <f t="shared" si="94"/>
        <v>1112</v>
      </c>
      <c r="T50" s="63">
        <f t="shared" si="94"/>
        <v>1034</v>
      </c>
      <c r="U50" s="63">
        <f t="shared" si="94"/>
        <v>1136</v>
      </c>
      <c r="V50" s="63">
        <f t="shared" si="94"/>
        <v>930</v>
      </c>
      <c r="W50" s="63">
        <f t="shared" si="94"/>
        <v>930</v>
      </c>
      <c r="X50" s="63">
        <f t="shared" si="94"/>
        <v>930</v>
      </c>
      <c r="Y50" s="63">
        <f t="shared" si="94"/>
        <v>930</v>
      </c>
      <c r="Z50" s="63">
        <f t="shared" si="94"/>
        <v>600</v>
      </c>
      <c r="AA50" s="63">
        <f t="shared" si="94"/>
        <v>600</v>
      </c>
      <c r="AB50" s="63">
        <f t="shared" si="94"/>
        <v>2716</v>
      </c>
      <c r="AC50" s="63">
        <f t="shared" si="94"/>
        <v>2220</v>
      </c>
      <c r="AD50" s="63">
        <f t="shared" si="94"/>
        <v>2000</v>
      </c>
      <c r="AE50" s="63">
        <f t="shared" si="94"/>
        <v>0</v>
      </c>
      <c r="AF50" s="63">
        <f t="shared" si="94"/>
        <v>916</v>
      </c>
      <c r="AG50" s="63">
        <f t="shared" si="94"/>
        <v>0</v>
      </c>
      <c r="AH50" s="64"/>
      <c r="AI50" s="20"/>
    </row>
    <row r="51" spans="1:35" s="22" customFormat="1" ht="88.5" customHeight="1" x14ac:dyDescent="0.25">
      <c r="A51" s="565"/>
      <c r="B51" s="562"/>
      <c r="C51" s="126" t="s">
        <v>22</v>
      </c>
      <c r="D51" s="74">
        <f>SUM(J51,L51,N51,P51,R51,T51,V51,X51,Z51,AB51,AD51,AF51)</f>
        <v>13776</v>
      </c>
      <c r="E51" s="62">
        <f>J51+L51+N51+P51+R51+T51+V51+X51+Z51+AB51</f>
        <v>10860</v>
      </c>
      <c r="F51" s="62">
        <f>G51</f>
        <v>10364</v>
      </c>
      <c r="G51" s="62">
        <f>SUM(K51,M51,O51,Q51,S51,U51,W51,Y51,AA51,AC51,AE51,AG51)</f>
        <v>10364</v>
      </c>
      <c r="H51" s="62">
        <f>IFERROR(G51/D51*100,0)</f>
        <v>75.232288037166086</v>
      </c>
      <c r="I51" s="62">
        <f>IFERROR(G51/E51*100,0)</f>
        <v>95.432780847145494</v>
      </c>
      <c r="J51" s="63">
        <v>930</v>
      </c>
      <c r="K51" s="63">
        <v>0</v>
      </c>
      <c r="L51" s="63">
        <v>930</v>
      </c>
      <c r="M51" s="63">
        <v>1300</v>
      </c>
      <c r="N51" s="63">
        <v>930</v>
      </c>
      <c r="O51" s="63">
        <v>1060</v>
      </c>
      <c r="P51" s="63">
        <v>930</v>
      </c>
      <c r="Q51" s="63">
        <v>1076</v>
      </c>
      <c r="R51" s="63">
        <v>930</v>
      </c>
      <c r="S51" s="63">
        <v>1112</v>
      </c>
      <c r="T51" s="63">
        <f>104+930</f>
        <v>1034</v>
      </c>
      <c r="U51" s="63">
        <v>1136</v>
      </c>
      <c r="V51" s="63">
        <v>930</v>
      </c>
      <c r="W51" s="63">
        <v>930</v>
      </c>
      <c r="X51" s="63">
        <v>930</v>
      </c>
      <c r="Y51" s="63">
        <v>930</v>
      </c>
      <c r="Z51" s="63">
        <v>600</v>
      </c>
      <c r="AA51" s="63">
        <v>600</v>
      </c>
      <c r="AB51" s="63">
        <f>600-104+2220</f>
        <v>2716</v>
      </c>
      <c r="AC51" s="63">
        <v>2220</v>
      </c>
      <c r="AD51" s="63">
        <v>2000</v>
      </c>
      <c r="AE51" s="63">
        <v>0</v>
      </c>
      <c r="AF51" s="63">
        <v>916</v>
      </c>
      <c r="AG51" s="63">
        <v>0</v>
      </c>
      <c r="AH51" s="64"/>
      <c r="AI51" s="20"/>
    </row>
    <row r="52" spans="1:35" s="18" customFormat="1" ht="28.5" hidden="1" customHeight="1" x14ac:dyDescent="0.25">
      <c r="A52" s="566"/>
      <c r="B52" s="563"/>
      <c r="C52" s="139" t="s">
        <v>113</v>
      </c>
      <c r="D52" s="140">
        <f>SUM(J52,L52,N52,P52,R52,T52,V52,X52,Z52,AB52,AD52,AF52)</f>
        <v>0</v>
      </c>
      <c r="E52" s="141">
        <f>J52</f>
        <v>0</v>
      </c>
      <c r="F52" s="141">
        <f>G52</f>
        <v>0</v>
      </c>
      <c r="G52" s="141">
        <f>SUM(K52,M52,O52,Q52,S52,U52,W52,Y52,AA52,AC52,AE52,AG52)</f>
        <v>0</v>
      </c>
      <c r="H52" s="141">
        <f>IFERROR(G52/D52*100,0)</f>
        <v>0</v>
      </c>
      <c r="I52" s="141">
        <f>IFERROR(G52/E52*100,0)</f>
        <v>0</v>
      </c>
      <c r="J52" s="154">
        <v>0</v>
      </c>
      <c r="K52" s="154">
        <v>0</v>
      </c>
      <c r="L52" s="154">
        <v>0</v>
      </c>
      <c r="M52" s="154">
        <v>0</v>
      </c>
      <c r="N52" s="154">
        <v>0</v>
      </c>
      <c r="O52" s="154">
        <v>0</v>
      </c>
      <c r="P52" s="154">
        <v>0</v>
      </c>
      <c r="Q52" s="154">
        <v>0</v>
      </c>
      <c r="R52" s="154">
        <v>0</v>
      </c>
      <c r="S52" s="154">
        <v>0</v>
      </c>
      <c r="T52" s="154">
        <v>0</v>
      </c>
      <c r="U52" s="154">
        <v>0</v>
      </c>
      <c r="V52" s="154">
        <v>0</v>
      </c>
      <c r="W52" s="154">
        <v>0</v>
      </c>
      <c r="X52" s="154">
        <v>0</v>
      </c>
      <c r="Y52" s="154">
        <v>0</v>
      </c>
      <c r="Z52" s="154">
        <v>0</v>
      </c>
      <c r="AA52" s="154">
        <v>0</v>
      </c>
      <c r="AB52" s="154">
        <v>0</v>
      </c>
      <c r="AC52" s="154">
        <v>0</v>
      </c>
      <c r="AD52" s="154">
        <v>0</v>
      </c>
      <c r="AE52" s="154">
        <v>0</v>
      </c>
      <c r="AF52" s="154">
        <v>0</v>
      </c>
      <c r="AG52" s="154">
        <v>0</v>
      </c>
      <c r="AH52" s="46"/>
      <c r="AI52" s="19"/>
    </row>
    <row r="53" spans="1:35" s="22" customFormat="1" ht="69" customHeight="1" x14ac:dyDescent="0.25">
      <c r="A53" s="152"/>
      <c r="B53" s="557" t="s">
        <v>250</v>
      </c>
      <c r="C53" s="126" t="s">
        <v>20</v>
      </c>
      <c r="D53" s="74">
        <f t="shared" ref="D53:E53" si="95">D54</f>
        <v>46122.400000000001</v>
      </c>
      <c r="E53" s="62">
        <f t="shared" si="95"/>
        <v>32370.7</v>
      </c>
      <c r="F53" s="62">
        <f t="shared" ref="F53:F54" si="96">G53</f>
        <v>32334.563999999998</v>
      </c>
      <c r="G53" s="62">
        <f>G54</f>
        <v>32334.563999999998</v>
      </c>
      <c r="H53" s="62">
        <f t="shared" ref="H53:H55" si="97">IFERROR(G53/D53*100,0)</f>
        <v>70.105987546181453</v>
      </c>
      <c r="I53" s="62">
        <f t="shared" ref="I53:I55" si="98">IFERROR(G53/E53*100,0)</f>
        <v>99.888368184809096</v>
      </c>
      <c r="J53" s="62">
        <f t="shared" ref="J53:AG53" si="99">J54</f>
        <v>0</v>
      </c>
      <c r="K53" s="62">
        <f t="shared" si="99"/>
        <v>0</v>
      </c>
      <c r="L53" s="62">
        <f t="shared" si="99"/>
        <v>10000</v>
      </c>
      <c r="M53" s="62">
        <f t="shared" si="99"/>
        <v>9277.5139999999992</v>
      </c>
      <c r="N53" s="62">
        <f t="shared" si="99"/>
        <v>5000</v>
      </c>
      <c r="O53" s="62">
        <f t="shared" si="99"/>
        <v>5629.19</v>
      </c>
      <c r="P53" s="62">
        <f t="shared" si="99"/>
        <v>6300</v>
      </c>
      <c r="Q53" s="62">
        <f t="shared" si="99"/>
        <v>5751.82</v>
      </c>
      <c r="R53" s="62">
        <f t="shared" si="99"/>
        <v>5250</v>
      </c>
      <c r="S53" s="62">
        <f t="shared" si="99"/>
        <v>5855.34</v>
      </c>
      <c r="T53" s="62">
        <f t="shared" si="99"/>
        <v>5820.7</v>
      </c>
      <c r="U53" s="62">
        <f t="shared" si="99"/>
        <v>5820.7</v>
      </c>
      <c r="V53" s="62">
        <f t="shared" si="99"/>
        <v>0</v>
      </c>
      <c r="W53" s="62">
        <f t="shared" si="99"/>
        <v>0</v>
      </c>
      <c r="X53" s="62">
        <f t="shared" si="99"/>
        <v>0</v>
      </c>
      <c r="Y53" s="62">
        <f t="shared" si="99"/>
        <v>0</v>
      </c>
      <c r="Z53" s="62">
        <f t="shared" si="99"/>
        <v>0</v>
      </c>
      <c r="AA53" s="62">
        <f t="shared" si="99"/>
        <v>0</v>
      </c>
      <c r="AB53" s="62">
        <f t="shared" si="99"/>
        <v>0</v>
      </c>
      <c r="AC53" s="62">
        <f t="shared" si="99"/>
        <v>0</v>
      </c>
      <c r="AD53" s="62">
        <f t="shared" si="99"/>
        <v>0</v>
      </c>
      <c r="AE53" s="62">
        <f t="shared" si="99"/>
        <v>0</v>
      </c>
      <c r="AF53" s="62">
        <f t="shared" si="99"/>
        <v>13751.7</v>
      </c>
      <c r="AG53" s="62">
        <f t="shared" si="99"/>
        <v>0</v>
      </c>
      <c r="AH53" s="64"/>
      <c r="AI53" s="20"/>
    </row>
    <row r="54" spans="1:35" s="22" customFormat="1" ht="67.5" customHeight="1" x14ac:dyDescent="0.25">
      <c r="A54" s="152"/>
      <c r="B54" s="557"/>
      <c r="C54" s="126" t="s">
        <v>22</v>
      </c>
      <c r="D54" s="74">
        <f t="shared" ref="D54" si="100">SUM(J54,L54,N54,P54,R54,T54,V54,X54,Z54,AB54,AD54,AF54)</f>
        <v>46122.400000000001</v>
      </c>
      <c r="E54" s="62">
        <f>J54+L54+N54+P54+R54+T54</f>
        <v>32370.7</v>
      </c>
      <c r="F54" s="62">
        <f t="shared" si="96"/>
        <v>32334.563999999998</v>
      </c>
      <c r="G54" s="62">
        <f t="shared" ref="G54" si="101">SUM(K54,M54,O54,Q54,S54,U54,W54,Y54,AA54,AC54,AE54,AG54)</f>
        <v>32334.563999999998</v>
      </c>
      <c r="H54" s="62">
        <f t="shared" si="97"/>
        <v>70.105987546181453</v>
      </c>
      <c r="I54" s="62">
        <f t="shared" si="98"/>
        <v>99.888368184809096</v>
      </c>
      <c r="J54" s="63">
        <v>0</v>
      </c>
      <c r="K54" s="63">
        <v>0</v>
      </c>
      <c r="L54" s="63">
        <v>10000</v>
      </c>
      <c r="M54" s="63">
        <v>9277.5139999999992</v>
      </c>
      <c r="N54" s="63">
        <v>5000</v>
      </c>
      <c r="O54" s="63">
        <v>5629.19</v>
      </c>
      <c r="P54" s="63">
        <v>6300</v>
      </c>
      <c r="Q54" s="63">
        <v>5751.82</v>
      </c>
      <c r="R54" s="63">
        <v>5250</v>
      </c>
      <c r="S54" s="63">
        <v>5855.34</v>
      </c>
      <c r="T54" s="63">
        <v>5820.7</v>
      </c>
      <c r="U54" s="63">
        <v>5820.7</v>
      </c>
      <c r="V54" s="63">
        <v>0</v>
      </c>
      <c r="W54" s="63">
        <v>0</v>
      </c>
      <c r="X54" s="63">
        <v>0</v>
      </c>
      <c r="Y54" s="63">
        <v>0</v>
      </c>
      <c r="Z54" s="63">
        <v>0</v>
      </c>
      <c r="AA54" s="63">
        <v>0</v>
      </c>
      <c r="AB54" s="63">
        <v>0</v>
      </c>
      <c r="AC54" s="63">
        <v>0</v>
      </c>
      <c r="AD54" s="63">
        <v>0</v>
      </c>
      <c r="AE54" s="63">
        <v>0</v>
      </c>
      <c r="AF54" s="63">
        <f>46122.4-10000-5000-6300-5250-5820.7</f>
        <v>13751.7</v>
      </c>
      <c r="AG54" s="63">
        <v>0</v>
      </c>
      <c r="AH54" s="64"/>
      <c r="AI54" s="20"/>
    </row>
    <row r="55" spans="1:35" s="22" customFormat="1" ht="23.25" customHeight="1" x14ac:dyDescent="0.25">
      <c r="A55" s="558"/>
      <c r="B55" s="561" t="s">
        <v>251</v>
      </c>
      <c r="C55" s="126" t="s">
        <v>20</v>
      </c>
      <c r="D55" s="74">
        <f>D57+D56</f>
        <v>0</v>
      </c>
      <c r="E55" s="62">
        <f t="shared" ref="E55:G55" si="102">E57+E56</f>
        <v>0</v>
      </c>
      <c r="F55" s="62">
        <f t="shared" si="102"/>
        <v>0</v>
      </c>
      <c r="G55" s="62">
        <f t="shared" si="102"/>
        <v>0</v>
      </c>
      <c r="H55" s="62">
        <f t="shared" si="97"/>
        <v>0</v>
      </c>
      <c r="I55" s="62">
        <f t="shared" si="98"/>
        <v>0</v>
      </c>
      <c r="J55" s="63">
        <f>J57+J56</f>
        <v>0</v>
      </c>
      <c r="K55" s="63">
        <f t="shared" ref="K55:AG55" si="103">K57+K56</f>
        <v>0</v>
      </c>
      <c r="L55" s="63">
        <f t="shared" si="103"/>
        <v>0</v>
      </c>
      <c r="M55" s="63">
        <f t="shared" si="103"/>
        <v>0</v>
      </c>
      <c r="N55" s="63">
        <f t="shared" si="103"/>
        <v>0</v>
      </c>
      <c r="O55" s="63">
        <f t="shared" si="103"/>
        <v>0</v>
      </c>
      <c r="P55" s="63">
        <f t="shared" si="103"/>
        <v>0</v>
      </c>
      <c r="Q55" s="63">
        <f t="shared" si="103"/>
        <v>0</v>
      </c>
      <c r="R55" s="63">
        <f t="shared" si="103"/>
        <v>0</v>
      </c>
      <c r="S55" s="63">
        <f t="shared" si="103"/>
        <v>0</v>
      </c>
      <c r="T55" s="63">
        <f t="shared" si="103"/>
        <v>0</v>
      </c>
      <c r="U55" s="63">
        <f t="shared" si="103"/>
        <v>0</v>
      </c>
      <c r="V55" s="63">
        <f t="shared" si="103"/>
        <v>0</v>
      </c>
      <c r="W55" s="63">
        <f t="shared" si="103"/>
        <v>0</v>
      </c>
      <c r="X55" s="63">
        <f t="shared" si="103"/>
        <v>0</v>
      </c>
      <c r="Y55" s="63">
        <f t="shared" si="103"/>
        <v>0</v>
      </c>
      <c r="Z55" s="63">
        <f t="shared" si="103"/>
        <v>0</v>
      </c>
      <c r="AA55" s="63">
        <f t="shared" si="103"/>
        <v>0</v>
      </c>
      <c r="AB55" s="63">
        <f t="shared" si="103"/>
        <v>0</v>
      </c>
      <c r="AC55" s="63">
        <f t="shared" si="103"/>
        <v>0</v>
      </c>
      <c r="AD55" s="63">
        <f t="shared" si="103"/>
        <v>0</v>
      </c>
      <c r="AE55" s="63">
        <f t="shared" si="103"/>
        <v>0</v>
      </c>
      <c r="AF55" s="63">
        <f t="shared" si="103"/>
        <v>0</v>
      </c>
      <c r="AG55" s="63">
        <f t="shared" si="103"/>
        <v>0</v>
      </c>
      <c r="AH55" s="64"/>
      <c r="AI55" s="20"/>
    </row>
    <row r="56" spans="1:35" s="22" customFormat="1" ht="66.75" customHeight="1" x14ac:dyDescent="0.25">
      <c r="A56" s="559"/>
      <c r="B56" s="562"/>
      <c r="C56" s="126" t="s">
        <v>22</v>
      </c>
      <c r="D56" s="74">
        <f>SUM(J56,L56,N56,P56,R56,T56,V56,X56,Z56,AB56,AD56,AF56)</f>
        <v>0</v>
      </c>
      <c r="E56" s="62">
        <f>J56</f>
        <v>0</v>
      </c>
      <c r="F56" s="62">
        <f>G56</f>
        <v>0</v>
      </c>
      <c r="G56" s="62">
        <f>SUM(K56,M56,O56,Q56,S56,U56,W56,Y56,AA56,AC56,AE56,AG56)</f>
        <v>0</v>
      </c>
      <c r="H56" s="62">
        <f>IFERROR(G56/D56*100,0)</f>
        <v>0</v>
      </c>
      <c r="I56" s="62">
        <f>IFERROR(G56/E56*100,0)</f>
        <v>0</v>
      </c>
      <c r="J56" s="63">
        <v>0</v>
      </c>
      <c r="K56" s="63">
        <v>0</v>
      </c>
      <c r="L56" s="63">
        <v>0</v>
      </c>
      <c r="M56" s="63">
        <v>0</v>
      </c>
      <c r="N56" s="63">
        <v>0</v>
      </c>
      <c r="O56" s="63">
        <v>0</v>
      </c>
      <c r="P56" s="63">
        <v>0</v>
      </c>
      <c r="Q56" s="63">
        <v>0</v>
      </c>
      <c r="R56" s="63">
        <v>0</v>
      </c>
      <c r="S56" s="63">
        <v>0</v>
      </c>
      <c r="T56" s="63">
        <v>0</v>
      </c>
      <c r="U56" s="63">
        <v>0</v>
      </c>
      <c r="V56" s="63">
        <v>0</v>
      </c>
      <c r="W56" s="63">
        <v>0</v>
      </c>
      <c r="X56" s="63">
        <v>0</v>
      </c>
      <c r="Y56" s="63">
        <v>0</v>
      </c>
      <c r="Z56" s="63">
        <v>0</v>
      </c>
      <c r="AA56" s="63">
        <v>0</v>
      </c>
      <c r="AB56" s="63">
        <v>0</v>
      </c>
      <c r="AC56" s="63">
        <v>0</v>
      </c>
      <c r="AD56" s="63">
        <v>0</v>
      </c>
      <c r="AE56" s="63">
        <v>0</v>
      </c>
      <c r="AF56" s="63"/>
      <c r="AG56" s="63">
        <v>0</v>
      </c>
      <c r="AH56" s="64"/>
      <c r="AI56" s="20"/>
    </row>
    <row r="57" spans="1:35" s="22" customFormat="1" ht="75.75" customHeight="1" x14ac:dyDescent="0.25">
      <c r="A57" s="567"/>
      <c r="B57" s="563"/>
      <c r="C57" s="126" t="s">
        <v>21</v>
      </c>
      <c r="D57" s="74">
        <f>SUM(J57,L57,N57,P57,R57,T57,V57,X57,Z57,AB57,AD57,AF57)</f>
        <v>0</v>
      </c>
      <c r="E57" s="62">
        <f>J57</f>
        <v>0</v>
      </c>
      <c r="F57" s="62">
        <f>G57</f>
        <v>0</v>
      </c>
      <c r="G57" s="62">
        <f>SUM(K57,M57,O57,Q57,S57,U57,W57,Y57,AA57,AC57,AE57,AG57)</f>
        <v>0</v>
      </c>
      <c r="H57" s="62">
        <f>IFERROR(G57/D57*100,0)</f>
        <v>0</v>
      </c>
      <c r="I57" s="62">
        <f>IFERROR(G57/E57*100,0)</f>
        <v>0</v>
      </c>
      <c r="J57" s="63">
        <v>0</v>
      </c>
      <c r="K57" s="63">
        <v>0</v>
      </c>
      <c r="L57" s="63">
        <v>0</v>
      </c>
      <c r="M57" s="63">
        <v>0</v>
      </c>
      <c r="N57" s="63">
        <v>0</v>
      </c>
      <c r="O57" s="63">
        <v>0</v>
      </c>
      <c r="P57" s="63">
        <v>0</v>
      </c>
      <c r="Q57" s="63">
        <v>0</v>
      </c>
      <c r="R57" s="63">
        <v>0</v>
      </c>
      <c r="S57" s="63">
        <v>0</v>
      </c>
      <c r="T57" s="63">
        <v>0</v>
      </c>
      <c r="U57" s="63">
        <v>0</v>
      </c>
      <c r="V57" s="63">
        <v>0</v>
      </c>
      <c r="W57" s="63">
        <v>0</v>
      </c>
      <c r="X57" s="63">
        <v>0</v>
      </c>
      <c r="Y57" s="63">
        <v>0</v>
      </c>
      <c r="Z57" s="63">
        <v>0</v>
      </c>
      <c r="AA57" s="63">
        <v>0</v>
      </c>
      <c r="AB57" s="63">
        <v>0</v>
      </c>
      <c r="AC57" s="63">
        <v>0</v>
      </c>
      <c r="AD57" s="63">
        <v>0</v>
      </c>
      <c r="AE57" s="63">
        <v>0</v>
      </c>
      <c r="AF57" s="63"/>
      <c r="AG57" s="63">
        <v>0</v>
      </c>
      <c r="AH57" s="64"/>
      <c r="AI57" s="20"/>
    </row>
    <row r="58" spans="1:35" s="22" customFormat="1" ht="62.25" customHeight="1" x14ac:dyDescent="0.25">
      <c r="A58" s="471"/>
      <c r="B58" s="470" t="s">
        <v>421</v>
      </c>
      <c r="C58" s="126" t="s">
        <v>20</v>
      </c>
      <c r="D58" s="74">
        <f t="shared" ref="D58:E58" si="104">D59</f>
        <v>33.32</v>
      </c>
      <c r="E58" s="62">
        <f t="shared" si="104"/>
        <v>0</v>
      </c>
      <c r="F58" s="62">
        <f t="shared" ref="F58" si="105">G58</f>
        <v>0</v>
      </c>
      <c r="G58" s="62">
        <f>G59</f>
        <v>0</v>
      </c>
      <c r="H58" s="62">
        <f t="shared" ref="H58:H59" si="106">IFERROR(G58/D58*100,0)</f>
        <v>0</v>
      </c>
      <c r="I58" s="62">
        <f t="shared" ref="I58:I59" si="107">IFERROR(G58/E58*100,0)</f>
        <v>0</v>
      </c>
      <c r="J58" s="62">
        <f t="shared" ref="J58:AG58" si="108">J59</f>
        <v>0</v>
      </c>
      <c r="K58" s="62">
        <f t="shared" si="108"/>
        <v>0</v>
      </c>
      <c r="L58" s="62">
        <f t="shared" si="108"/>
        <v>0</v>
      </c>
      <c r="M58" s="62">
        <f t="shared" si="108"/>
        <v>0</v>
      </c>
      <c r="N58" s="62">
        <f t="shared" si="108"/>
        <v>0</v>
      </c>
      <c r="O58" s="62">
        <f t="shared" si="108"/>
        <v>0</v>
      </c>
      <c r="P58" s="62">
        <f t="shared" si="108"/>
        <v>0</v>
      </c>
      <c r="Q58" s="62">
        <f t="shared" si="108"/>
        <v>0</v>
      </c>
      <c r="R58" s="62">
        <f t="shared" si="108"/>
        <v>0</v>
      </c>
      <c r="S58" s="62">
        <f t="shared" si="108"/>
        <v>0</v>
      </c>
      <c r="T58" s="62">
        <f t="shared" si="108"/>
        <v>0</v>
      </c>
      <c r="U58" s="62">
        <f t="shared" si="108"/>
        <v>0</v>
      </c>
      <c r="V58" s="62">
        <f t="shared" si="108"/>
        <v>0</v>
      </c>
      <c r="W58" s="62">
        <f t="shared" si="108"/>
        <v>0</v>
      </c>
      <c r="X58" s="62">
        <f t="shared" si="108"/>
        <v>0</v>
      </c>
      <c r="Y58" s="62">
        <f t="shared" si="108"/>
        <v>0</v>
      </c>
      <c r="Z58" s="62">
        <f t="shared" si="108"/>
        <v>0</v>
      </c>
      <c r="AA58" s="62">
        <f t="shared" si="108"/>
        <v>0</v>
      </c>
      <c r="AB58" s="62">
        <f t="shared" si="108"/>
        <v>0</v>
      </c>
      <c r="AC58" s="62">
        <f t="shared" si="108"/>
        <v>0</v>
      </c>
      <c r="AD58" s="62">
        <f t="shared" si="108"/>
        <v>0</v>
      </c>
      <c r="AE58" s="62">
        <f t="shared" si="108"/>
        <v>0</v>
      </c>
      <c r="AF58" s="62">
        <f t="shared" si="108"/>
        <v>33.32</v>
      </c>
      <c r="AG58" s="62">
        <f t="shared" si="108"/>
        <v>0</v>
      </c>
      <c r="AH58" s="64"/>
      <c r="AI58" s="20"/>
    </row>
    <row r="59" spans="1:35" s="22" customFormat="1" ht="105.75" customHeight="1" x14ac:dyDescent="0.25">
      <c r="A59" s="471"/>
      <c r="B59" s="472"/>
      <c r="C59" s="126" t="s">
        <v>22</v>
      </c>
      <c r="D59" s="74">
        <f t="shared" ref="D59" si="109">SUM(J59,L59,N59,P59,R59,T59,V59,X59,Z59,AB59,AD59,AF59)</f>
        <v>33.32</v>
      </c>
      <c r="E59" s="62">
        <f>J59+L59+N59+P59+R59+T59+V59+X59+Z59+AB59</f>
        <v>0</v>
      </c>
      <c r="F59" s="62">
        <f>G59</f>
        <v>0</v>
      </c>
      <c r="G59" s="62">
        <f>SUM(K59,M59,O59,Q59,S59,U59,W59,Y59,AA59,AC59,AE59,AG59)</f>
        <v>0</v>
      </c>
      <c r="H59" s="62">
        <f t="shared" si="106"/>
        <v>0</v>
      </c>
      <c r="I59" s="62">
        <f t="shared" si="107"/>
        <v>0</v>
      </c>
      <c r="J59" s="63"/>
      <c r="K59" s="63"/>
      <c r="L59" s="63"/>
      <c r="M59" s="63"/>
      <c r="N59" s="63"/>
      <c r="O59" s="63"/>
      <c r="P59" s="63"/>
      <c r="Q59" s="63"/>
      <c r="R59" s="63"/>
      <c r="S59" s="63"/>
      <c r="T59" s="63"/>
      <c r="U59" s="63"/>
      <c r="V59" s="63"/>
      <c r="W59" s="63"/>
      <c r="X59" s="63"/>
      <c r="Y59" s="63"/>
      <c r="Z59" s="63"/>
      <c r="AA59" s="63"/>
      <c r="AB59" s="63"/>
      <c r="AC59" s="63"/>
      <c r="AD59" s="63"/>
      <c r="AE59" s="63"/>
      <c r="AF59" s="63">
        <v>33.32</v>
      </c>
      <c r="AG59" s="63">
        <v>0</v>
      </c>
      <c r="AH59" s="64"/>
      <c r="AI59" s="20"/>
    </row>
    <row r="60" spans="1:35" s="22" customFormat="1" ht="33" customHeight="1" x14ac:dyDescent="0.25">
      <c r="A60" s="540"/>
      <c r="B60" s="568" t="s">
        <v>252</v>
      </c>
      <c r="C60" s="125" t="s">
        <v>20</v>
      </c>
      <c r="D60" s="70">
        <f>D62+D61</f>
        <v>1506.3000000000002</v>
      </c>
      <c r="E60" s="58">
        <f t="shared" ref="E60:G60" si="110">E62+E61</f>
        <v>1109.0100000000002</v>
      </c>
      <c r="F60" s="58">
        <f t="shared" si="110"/>
        <v>964.1</v>
      </c>
      <c r="G60" s="58">
        <f t="shared" si="110"/>
        <v>964.1</v>
      </c>
      <c r="H60" s="58">
        <f t="shared" ref="H60" si="111">IFERROR(G60/D60*100,0)</f>
        <v>64.004514372966867</v>
      </c>
      <c r="I60" s="58">
        <f t="shared" ref="I60" si="112">IFERROR(G60/E60*100,0)</f>
        <v>86.933391042461281</v>
      </c>
      <c r="J60" s="59">
        <f>J62+J61</f>
        <v>27.14</v>
      </c>
      <c r="K60" s="59">
        <f t="shared" ref="K60:AG60" si="113">K62+K61</f>
        <v>0</v>
      </c>
      <c r="L60" s="59">
        <f t="shared" si="113"/>
        <v>0</v>
      </c>
      <c r="M60" s="59">
        <f t="shared" si="113"/>
        <v>27.14</v>
      </c>
      <c r="N60" s="59">
        <f t="shared" si="113"/>
        <v>542.09</v>
      </c>
      <c r="O60" s="59">
        <f t="shared" si="113"/>
        <v>417.09</v>
      </c>
      <c r="P60" s="59">
        <f t="shared" si="113"/>
        <v>207.09</v>
      </c>
      <c r="Q60" s="59">
        <f t="shared" si="113"/>
        <v>58.09</v>
      </c>
      <c r="R60" s="59">
        <f t="shared" si="113"/>
        <v>18.100000000000001</v>
      </c>
      <c r="S60" s="59">
        <f t="shared" si="113"/>
        <v>18.100000000000001</v>
      </c>
      <c r="T60" s="59">
        <f t="shared" si="113"/>
        <v>18.09</v>
      </c>
      <c r="U60" s="59">
        <f t="shared" si="113"/>
        <v>258.08999999999997</v>
      </c>
      <c r="V60" s="59">
        <f t="shared" si="113"/>
        <v>74.81</v>
      </c>
      <c r="W60" s="59">
        <f t="shared" si="113"/>
        <v>8.81</v>
      </c>
      <c r="X60" s="59">
        <f t="shared" si="113"/>
        <v>8.82</v>
      </c>
      <c r="Y60" s="59">
        <f t="shared" si="113"/>
        <v>8.82</v>
      </c>
      <c r="Z60" s="59">
        <f t="shared" si="113"/>
        <v>0</v>
      </c>
      <c r="AA60" s="59">
        <f t="shared" si="113"/>
        <v>0</v>
      </c>
      <c r="AB60" s="59">
        <f t="shared" si="113"/>
        <v>212.87</v>
      </c>
      <c r="AC60" s="59">
        <f t="shared" si="113"/>
        <v>167.96</v>
      </c>
      <c r="AD60" s="59">
        <f t="shared" si="113"/>
        <v>0</v>
      </c>
      <c r="AE60" s="59">
        <f t="shared" si="113"/>
        <v>0</v>
      </c>
      <c r="AF60" s="59">
        <f t="shared" si="113"/>
        <v>397.29</v>
      </c>
      <c r="AG60" s="59">
        <f t="shared" si="113"/>
        <v>0</v>
      </c>
      <c r="AH60" s="60"/>
      <c r="AI60" s="20"/>
    </row>
    <row r="61" spans="1:35" s="22" customFormat="1" ht="57.75" hidden="1" customHeight="1" x14ac:dyDescent="0.25">
      <c r="A61" s="540"/>
      <c r="B61" s="568"/>
      <c r="C61" s="126" t="s">
        <v>22</v>
      </c>
      <c r="D61" s="74">
        <f>SUM(J61,L61,N61,P61,R61,T61,V61,X61,Z61,AB61,AD61,AF61)</f>
        <v>0</v>
      </c>
      <c r="E61" s="62">
        <f>J61+L61+N61+P61+R61</f>
        <v>0</v>
      </c>
      <c r="F61" s="62">
        <f>G61</f>
        <v>0</v>
      </c>
      <c r="G61" s="62">
        <f>SUM(K61,M61,O61,Q61,S61,U61,W61,Y61,AA61,AC61,AE61,AG61)</f>
        <v>0</v>
      </c>
      <c r="H61" s="62">
        <f>IFERROR(G61/D61*100,0)</f>
        <v>0</v>
      </c>
      <c r="I61" s="62">
        <f>IFERROR(G61/E61*100,0)</f>
        <v>0</v>
      </c>
      <c r="J61" s="63">
        <v>0</v>
      </c>
      <c r="K61" s="63">
        <v>0</v>
      </c>
      <c r="L61" s="63">
        <v>0</v>
      </c>
      <c r="M61" s="63">
        <v>0</v>
      </c>
      <c r="N61" s="63">
        <v>0</v>
      </c>
      <c r="O61" s="63">
        <v>0</v>
      </c>
      <c r="P61" s="63">
        <v>0</v>
      </c>
      <c r="Q61" s="63">
        <v>0</v>
      </c>
      <c r="R61" s="63">
        <v>0</v>
      </c>
      <c r="S61" s="63">
        <v>0</v>
      </c>
      <c r="T61" s="63">
        <v>0</v>
      </c>
      <c r="U61" s="63">
        <v>0</v>
      </c>
      <c r="V61" s="63">
        <v>0</v>
      </c>
      <c r="W61" s="63">
        <v>0</v>
      </c>
      <c r="X61" s="63">
        <v>0</v>
      </c>
      <c r="Y61" s="63">
        <v>0</v>
      </c>
      <c r="Z61" s="63">
        <v>0</v>
      </c>
      <c r="AA61" s="63">
        <v>0</v>
      </c>
      <c r="AB61" s="63">
        <v>0</v>
      </c>
      <c r="AC61" s="63">
        <v>0</v>
      </c>
      <c r="AD61" s="63">
        <v>0</v>
      </c>
      <c r="AE61" s="63">
        <v>0</v>
      </c>
      <c r="AF61" s="63">
        <v>0</v>
      </c>
      <c r="AG61" s="63">
        <v>0</v>
      </c>
      <c r="AH61" s="60"/>
      <c r="AI61" s="20"/>
    </row>
    <row r="62" spans="1:35" s="22" customFormat="1" ht="39" customHeight="1" x14ac:dyDescent="0.25">
      <c r="A62" s="541"/>
      <c r="B62" s="568"/>
      <c r="C62" s="126" t="s">
        <v>21</v>
      </c>
      <c r="D62" s="74">
        <f>SUM(J62,L62,N62,P62,R62,T62,V62,X62,Z62,AB62,AD62,AF62)</f>
        <v>1506.3000000000002</v>
      </c>
      <c r="E62" s="62">
        <f>J62+L62+N62+P62+R62+T62+V62+X62+Z62+AB62</f>
        <v>1109.0100000000002</v>
      </c>
      <c r="F62" s="62">
        <f>G62</f>
        <v>964.1</v>
      </c>
      <c r="G62" s="62">
        <f t="shared" ref="G62" si="114">SUM(K62,M62,O62,Q62,S62,U62,W62,Y62,AA62,AC62,AE62,AG62)</f>
        <v>964.1</v>
      </c>
      <c r="H62" s="62">
        <f>IFERROR(G62/D62*100,0)</f>
        <v>64.004514372966867</v>
      </c>
      <c r="I62" s="62">
        <f>IFERROR(G62/E62*100,0)</f>
        <v>86.933391042461281</v>
      </c>
      <c r="J62" s="63">
        <f>J64+J66</f>
        <v>27.14</v>
      </c>
      <c r="K62" s="63">
        <f t="shared" ref="K62:AG62" si="115">K64+K66</f>
        <v>0</v>
      </c>
      <c r="L62" s="63">
        <f t="shared" si="115"/>
        <v>0</v>
      </c>
      <c r="M62" s="63">
        <f t="shared" si="115"/>
        <v>27.14</v>
      </c>
      <c r="N62" s="63">
        <f t="shared" si="115"/>
        <v>542.09</v>
      </c>
      <c r="O62" s="63">
        <f t="shared" si="115"/>
        <v>417.09</v>
      </c>
      <c r="P62" s="63">
        <f t="shared" si="115"/>
        <v>207.09</v>
      </c>
      <c r="Q62" s="63">
        <f t="shared" si="115"/>
        <v>58.09</v>
      </c>
      <c r="R62" s="63">
        <f>R64+R66</f>
        <v>18.100000000000001</v>
      </c>
      <c r="S62" s="63">
        <f>S64+S66</f>
        <v>18.100000000000001</v>
      </c>
      <c r="T62" s="63">
        <f t="shared" si="115"/>
        <v>18.09</v>
      </c>
      <c r="U62" s="63">
        <f t="shared" si="115"/>
        <v>258.08999999999997</v>
      </c>
      <c r="V62" s="63">
        <f t="shared" si="115"/>
        <v>74.81</v>
      </c>
      <c r="W62" s="63">
        <f t="shared" si="115"/>
        <v>8.81</v>
      </c>
      <c r="X62" s="63">
        <f t="shared" si="115"/>
        <v>8.82</v>
      </c>
      <c r="Y62" s="63">
        <f t="shared" si="115"/>
        <v>8.82</v>
      </c>
      <c r="Z62" s="63">
        <f t="shared" si="115"/>
        <v>0</v>
      </c>
      <c r="AA62" s="63">
        <f t="shared" si="115"/>
        <v>0</v>
      </c>
      <c r="AB62" s="63">
        <f t="shared" si="115"/>
        <v>212.87</v>
      </c>
      <c r="AC62" s="63">
        <f t="shared" si="115"/>
        <v>167.96</v>
      </c>
      <c r="AD62" s="63">
        <f t="shared" si="115"/>
        <v>0</v>
      </c>
      <c r="AE62" s="63">
        <f t="shared" si="115"/>
        <v>0</v>
      </c>
      <c r="AF62" s="63">
        <f t="shared" si="115"/>
        <v>397.29</v>
      </c>
      <c r="AG62" s="63">
        <f t="shared" si="115"/>
        <v>0</v>
      </c>
      <c r="AH62" s="60"/>
      <c r="AI62" s="20"/>
    </row>
    <row r="63" spans="1:35" s="22" customFormat="1" ht="54" customHeight="1" x14ac:dyDescent="0.25">
      <c r="A63" s="150"/>
      <c r="B63" s="557" t="s">
        <v>253</v>
      </c>
      <c r="C63" s="125" t="s">
        <v>20</v>
      </c>
      <c r="D63" s="74">
        <f t="shared" ref="D63:AG63" si="116">D64</f>
        <v>904</v>
      </c>
      <c r="E63" s="62">
        <f>E64</f>
        <v>779</v>
      </c>
      <c r="F63" s="62">
        <f t="shared" ref="F63:F65" si="117">G63</f>
        <v>679</v>
      </c>
      <c r="G63" s="62">
        <f>G64</f>
        <v>679</v>
      </c>
      <c r="H63" s="62">
        <f t="shared" ref="H63:H67" si="118">IFERROR(G63/D63*100,0)</f>
        <v>75.110619469026545</v>
      </c>
      <c r="I63" s="62">
        <f t="shared" ref="I63:I67" si="119">IFERROR(G63/E63*100,0)</f>
        <v>87.163029525032087</v>
      </c>
      <c r="J63" s="62">
        <f t="shared" si="116"/>
        <v>0</v>
      </c>
      <c r="K63" s="62">
        <f t="shared" si="116"/>
        <v>0</v>
      </c>
      <c r="L63" s="62">
        <f t="shared" si="116"/>
        <v>0</v>
      </c>
      <c r="M63" s="62">
        <f t="shared" si="116"/>
        <v>0</v>
      </c>
      <c r="N63" s="62">
        <f t="shared" si="116"/>
        <v>524</v>
      </c>
      <c r="O63" s="62">
        <f t="shared" si="116"/>
        <v>399</v>
      </c>
      <c r="P63" s="62">
        <f t="shared" si="116"/>
        <v>189</v>
      </c>
      <c r="Q63" s="62">
        <f t="shared" si="116"/>
        <v>40</v>
      </c>
      <c r="R63" s="62">
        <f t="shared" si="116"/>
        <v>0</v>
      </c>
      <c r="S63" s="62">
        <f t="shared" si="116"/>
        <v>0</v>
      </c>
      <c r="T63" s="62">
        <f t="shared" si="116"/>
        <v>0</v>
      </c>
      <c r="U63" s="62">
        <f t="shared" si="116"/>
        <v>240</v>
      </c>
      <c r="V63" s="62">
        <f t="shared" si="116"/>
        <v>66</v>
      </c>
      <c r="W63" s="62">
        <f t="shared" si="116"/>
        <v>0</v>
      </c>
      <c r="X63" s="62">
        <f t="shared" si="116"/>
        <v>0</v>
      </c>
      <c r="Y63" s="62">
        <f t="shared" si="116"/>
        <v>0</v>
      </c>
      <c r="Z63" s="62">
        <f t="shared" si="116"/>
        <v>0</v>
      </c>
      <c r="AA63" s="62">
        <f t="shared" si="116"/>
        <v>0</v>
      </c>
      <c r="AB63" s="62">
        <f t="shared" si="116"/>
        <v>0</v>
      </c>
      <c r="AC63" s="62">
        <f t="shared" si="116"/>
        <v>0</v>
      </c>
      <c r="AD63" s="62">
        <f t="shared" si="116"/>
        <v>0</v>
      </c>
      <c r="AE63" s="62">
        <f t="shared" si="116"/>
        <v>0</v>
      </c>
      <c r="AF63" s="62">
        <f t="shared" si="116"/>
        <v>125</v>
      </c>
      <c r="AG63" s="62">
        <f t="shared" si="116"/>
        <v>0</v>
      </c>
      <c r="AH63" s="60"/>
      <c r="AI63" s="20"/>
    </row>
    <row r="64" spans="1:35" s="22" customFormat="1" ht="84" customHeight="1" x14ac:dyDescent="0.25">
      <c r="A64" s="150"/>
      <c r="B64" s="557"/>
      <c r="C64" s="126" t="s">
        <v>21</v>
      </c>
      <c r="D64" s="74">
        <f t="shared" ref="D64" si="120">SUM(J64,L64,N64,P64,R64,T64,V64,X64,Z64,AB64,AD64,AF64)</f>
        <v>904</v>
      </c>
      <c r="E64" s="62">
        <f>J64+L64+N64+P64+R64+T64+V64+X64+Z64+AB64</f>
        <v>779</v>
      </c>
      <c r="F64" s="62">
        <f t="shared" si="117"/>
        <v>679</v>
      </c>
      <c r="G64" s="62">
        <f>SUM(K64,M64,O64,Q64,S64,U64,W64,Y64,AA64,AC64,AE64,AG64)</f>
        <v>679</v>
      </c>
      <c r="H64" s="62">
        <f t="shared" si="118"/>
        <v>75.110619469026545</v>
      </c>
      <c r="I64" s="62">
        <f t="shared" si="119"/>
        <v>87.163029525032087</v>
      </c>
      <c r="J64" s="63">
        <v>0</v>
      </c>
      <c r="K64" s="63">
        <v>0</v>
      </c>
      <c r="L64" s="63">
        <v>0</v>
      </c>
      <c r="M64" s="63">
        <v>0</v>
      </c>
      <c r="N64" s="63">
        <f>350+174</f>
        <v>524</v>
      </c>
      <c r="O64" s="63">
        <v>399</v>
      </c>
      <c r="P64" s="63">
        <v>189</v>
      </c>
      <c r="Q64" s="63">
        <v>40</v>
      </c>
      <c r="R64" s="63">
        <v>0</v>
      </c>
      <c r="S64" s="63">
        <v>0</v>
      </c>
      <c r="T64" s="63">
        <v>0</v>
      </c>
      <c r="U64" s="63">
        <v>240</v>
      </c>
      <c r="V64" s="63">
        <f>240-174</f>
        <v>66</v>
      </c>
      <c r="W64" s="63">
        <v>0</v>
      </c>
      <c r="X64" s="63">
        <v>0</v>
      </c>
      <c r="Y64" s="63">
        <v>0</v>
      </c>
      <c r="Z64" s="63">
        <v>0</v>
      </c>
      <c r="AA64" s="63">
        <v>0</v>
      </c>
      <c r="AB64" s="63">
        <v>0</v>
      </c>
      <c r="AC64" s="63">
        <v>0</v>
      </c>
      <c r="AD64" s="63">
        <v>0</v>
      </c>
      <c r="AE64" s="63">
        <v>0</v>
      </c>
      <c r="AF64" s="63">
        <v>125</v>
      </c>
      <c r="AG64" s="63">
        <v>0</v>
      </c>
      <c r="AH64" s="60"/>
      <c r="AI64" s="20"/>
    </row>
    <row r="65" spans="1:35" s="22" customFormat="1" ht="33" customHeight="1" x14ac:dyDescent="0.25">
      <c r="A65" s="150"/>
      <c r="B65" s="571" t="s">
        <v>326</v>
      </c>
      <c r="C65" s="125" t="s">
        <v>20</v>
      </c>
      <c r="D65" s="74">
        <f t="shared" ref="D65:E65" si="121">D66</f>
        <v>602.29999999999995</v>
      </c>
      <c r="E65" s="62">
        <f t="shared" si="121"/>
        <v>330.01</v>
      </c>
      <c r="F65" s="62">
        <f t="shared" si="117"/>
        <v>285.10000000000002</v>
      </c>
      <c r="G65" s="62">
        <f>G66</f>
        <v>285.10000000000002</v>
      </c>
      <c r="H65" s="62">
        <f t="shared" si="118"/>
        <v>47.335215009131673</v>
      </c>
      <c r="I65" s="62">
        <f t="shared" si="119"/>
        <v>86.391321475106821</v>
      </c>
      <c r="J65" s="62">
        <f t="shared" ref="J65:AG65" si="122">J66</f>
        <v>27.14</v>
      </c>
      <c r="K65" s="62">
        <f t="shared" si="122"/>
        <v>0</v>
      </c>
      <c r="L65" s="62">
        <f t="shared" si="122"/>
        <v>0</v>
      </c>
      <c r="M65" s="62">
        <f t="shared" si="122"/>
        <v>27.14</v>
      </c>
      <c r="N65" s="62">
        <f t="shared" si="122"/>
        <v>18.09</v>
      </c>
      <c r="O65" s="62">
        <f t="shared" si="122"/>
        <v>18.09</v>
      </c>
      <c r="P65" s="62">
        <f t="shared" si="122"/>
        <v>18.09</v>
      </c>
      <c r="Q65" s="62">
        <f t="shared" si="122"/>
        <v>18.09</v>
      </c>
      <c r="R65" s="62">
        <f t="shared" si="122"/>
        <v>18.100000000000001</v>
      </c>
      <c r="S65" s="62">
        <f t="shared" si="122"/>
        <v>18.100000000000001</v>
      </c>
      <c r="T65" s="62">
        <f t="shared" si="122"/>
        <v>18.09</v>
      </c>
      <c r="U65" s="62">
        <f t="shared" si="122"/>
        <v>18.09</v>
      </c>
      <c r="V65" s="62">
        <f t="shared" si="122"/>
        <v>8.8099999999999987</v>
      </c>
      <c r="W65" s="62">
        <f t="shared" si="122"/>
        <v>8.81</v>
      </c>
      <c r="X65" s="62">
        <f t="shared" si="122"/>
        <v>8.82</v>
      </c>
      <c r="Y65" s="62">
        <f t="shared" si="122"/>
        <v>8.82</v>
      </c>
      <c r="Z65" s="62">
        <v>9</v>
      </c>
      <c r="AA65" s="62">
        <v>9</v>
      </c>
      <c r="AB65" s="62">
        <f t="shared" si="122"/>
        <v>212.87</v>
      </c>
      <c r="AC65" s="62">
        <f t="shared" si="122"/>
        <v>167.96</v>
      </c>
      <c r="AD65" s="62">
        <f t="shared" si="122"/>
        <v>0</v>
      </c>
      <c r="AE65" s="62">
        <f t="shared" si="122"/>
        <v>0</v>
      </c>
      <c r="AF65" s="62">
        <f t="shared" si="122"/>
        <v>272.29000000000002</v>
      </c>
      <c r="AG65" s="62">
        <f t="shared" si="122"/>
        <v>0</v>
      </c>
      <c r="AH65" s="60"/>
      <c r="AI65" s="20"/>
    </row>
    <row r="66" spans="1:35" s="22" customFormat="1" ht="35.25" customHeight="1" x14ac:dyDescent="0.25">
      <c r="A66" s="150"/>
      <c r="B66" s="571"/>
      <c r="C66" s="126" t="s">
        <v>21</v>
      </c>
      <c r="D66" s="74">
        <f t="shared" ref="D66" si="123">SUM(J66,L66,N66,P66,R66,T66,V66,X66,Z66,AB66,AD66,AF66)</f>
        <v>602.29999999999995</v>
      </c>
      <c r="E66" s="62">
        <f>J66+L66+N66+P66+R66+T66+V66+X66+Z66+AB66</f>
        <v>330.01</v>
      </c>
      <c r="F66" s="62">
        <f>G66</f>
        <v>285.10000000000002</v>
      </c>
      <c r="G66" s="62">
        <f>SUM(K66,M66,O66,Q66,S66,U66,W66,Y66,AA66,AC66,AE66,AG66)</f>
        <v>285.10000000000002</v>
      </c>
      <c r="H66" s="62">
        <f t="shared" si="118"/>
        <v>47.335215009131673</v>
      </c>
      <c r="I66" s="62">
        <f t="shared" si="119"/>
        <v>86.391321475106821</v>
      </c>
      <c r="J66" s="63">
        <v>27.14</v>
      </c>
      <c r="K66" s="63">
        <v>0</v>
      </c>
      <c r="L66" s="63">
        <v>0</v>
      </c>
      <c r="M66" s="63">
        <v>27.14</v>
      </c>
      <c r="N66" s="63">
        <v>18.09</v>
      </c>
      <c r="O66" s="63">
        <v>18.09</v>
      </c>
      <c r="P66" s="63">
        <v>18.09</v>
      </c>
      <c r="Q66" s="63">
        <v>18.09</v>
      </c>
      <c r="R66" s="63">
        <v>18.100000000000001</v>
      </c>
      <c r="S66" s="63">
        <v>18.100000000000001</v>
      </c>
      <c r="T66" s="63">
        <v>18.09</v>
      </c>
      <c r="U66" s="63">
        <v>18.09</v>
      </c>
      <c r="V66" s="63">
        <f>45-18.09-18.1</f>
        <v>8.8099999999999987</v>
      </c>
      <c r="W66" s="63">
        <v>8.81</v>
      </c>
      <c r="X66" s="63">
        <f>45-18.09-18.09</f>
        <v>8.82</v>
      </c>
      <c r="Y66" s="63">
        <v>8.82</v>
      </c>
      <c r="Z66" s="63">
        <v>0</v>
      </c>
      <c r="AA66" s="63">
        <v>0</v>
      </c>
      <c r="AB66" s="63">
        <f>167.87+45</f>
        <v>212.87</v>
      </c>
      <c r="AC66" s="63">
        <v>167.96</v>
      </c>
      <c r="AD66" s="63">
        <v>0</v>
      </c>
      <c r="AE66" s="63">
        <v>0</v>
      </c>
      <c r="AF66" s="63">
        <f>440.16-167.87</f>
        <v>272.29000000000002</v>
      </c>
      <c r="AG66" s="63">
        <v>0</v>
      </c>
      <c r="AH66" s="60"/>
      <c r="AI66" s="20"/>
    </row>
    <row r="67" spans="1:35" s="22" customFormat="1" ht="38.25" customHeight="1" x14ac:dyDescent="0.25">
      <c r="A67" s="539"/>
      <c r="B67" s="572" t="s">
        <v>254</v>
      </c>
      <c r="C67" s="125" t="s">
        <v>20</v>
      </c>
      <c r="D67" s="70">
        <f>D70+D69+D68</f>
        <v>240922.29300000001</v>
      </c>
      <c r="E67" s="70">
        <f t="shared" ref="E67:G67" si="124">E70+E69+E68</f>
        <v>142404.95599999998</v>
      </c>
      <c r="F67" s="70">
        <f t="shared" si="124"/>
        <v>140318.56599999999</v>
      </c>
      <c r="G67" s="70">
        <f t="shared" si="124"/>
        <v>140318.56599999999</v>
      </c>
      <c r="H67" s="58">
        <f t="shared" si="118"/>
        <v>58.242250749290349</v>
      </c>
      <c r="I67" s="58">
        <f t="shared" si="119"/>
        <v>98.53488947393096</v>
      </c>
      <c r="J67" s="59">
        <f>J70+J69+J68</f>
        <v>13495.745999999999</v>
      </c>
      <c r="K67" s="59">
        <f t="shared" ref="K67:AG67" si="125">K70+K69+K68</f>
        <v>6967.3320000000003</v>
      </c>
      <c r="L67" s="59">
        <f t="shared" si="125"/>
        <v>31844.449999999997</v>
      </c>
      <c r="M67" s="59">
        <f t="shared" si="125"/>
        <v>34115.664000000004</v>
      </c>
      <c r="N67" s="59">
        <f t="shared" si="125"/>
        <v>34334.788</v>
      </c>
      <c r="O67" s="59">
        <f t="shared" si="125"/>
        <v>38194.35</v>
      </c>
      <c r="P67" s="59">
        <f t="shared" si="125"/>
        <v>27138.213</v>
      </c>
      <c r="Q67" s="59">
        <f t="shared" si="125"/>
        <v>19869.21</v>
      </c>
      <c r="R67" s="59">
        <f t="shared" si="125"/>
        <v>26427.764999999999</v>
      </c>
      <c r="S67" s="59">
        <f t="shared" si="125"/>
        <v>31463.160000000003</v>
      </c>
      <c r="T67" s="59">
        <f t="shared" si="125"/>
        <v>9163.9939999999988</v>
      </c>
      <c r="U67" s="59">
        <f t="shared" si="125"/>
        <v>9708.85</v>
      </c>
      <c r="V67" s="59">
        <f t="shared" si="125"/>
        <v>0</v>
      </c>
      <c r="W67" s="59">
        <f t="shared" si="125"/>
        <v>0</v>
      </c>
      <c r="X67" s="59">
        <f t="shared" si="125"/>
        <v>0</v>
      </c>
      <c r="Y67" s="59">
        <f t="shared" si="125"/>
        <v>0</v>
      </c>
      <c r="Z67" s="59">
        <f t="shared" si="125"/>
        <v>16342.246000000001</v>
      </c>
      <c r="AA67" s="59">
        <f t="shared" si="125"/>
        <v>0</v>
      </c>
      <c r="AB67" s="59">
        <f t="shared" si="125"/>
        <v>28000.196</v>
      </c>
      <c r="AC67" s="59">
        <f t="shared" si="125"/>
        <v>0</v>
      </c>
      <c r="AD67" s="59">
        <f t="shared" si="125"/>
        <v>27027.771000000001</v>
      </c>
      <c r="AE67" s="59">
        <f t="shared" si="125"/>
        <v>0</v>
      </c>
      <c r="AF67" s="59">
        <f t="shared" si="125"/>
        <v>27147.124000000003</v>
      </c>
      <c r="AG67" s="59">
        <f t="shared" si="125"/>
        <v>0</v>
      </c>
      <c r="AH67" s="60"/>
      <c r="AI67" s="20"/>
    </row>
    <row r="68" spans="1:35" s="22" customFormat="1" ht="38.25" customHeight="1" x14ac:dyDescent="0.25">
      <c r="A68" s="540"/>
      <c r="B68" s="573"/>
      <c r="C68" s="126" t="s">
        <v>52</v>
      </c>
      <c r="D68" s="74">
        <f>SUM(J68,L68,N68,P68,R68,T68,V68,X68,Z68,AB68,AD68,AF68)</f>
        <v>24359.297000000006</v>
      </c>
      <c r="E68" s="62">
        <f>J68+L68+N68+P68+R68+T68</f>
        <v>10817.710000000003</v>
      </c>
      <c r="F68" s="62">
        <f>G68</f>
        <v>10817.710000000001</v>
      </c>
      <c r="G68" s="62">
        <f>SUM(K68,M68,O68,Q68,S68,U68,W68,Y68,AA68,AC68,AE68,AG68)</f>
        <v>10817.710000000001</v>
      </c>
      <c r="H68" s="62">
        <f>IFERROR(G68/D68*100,0)</f>
        <v>44.408958107452769</v>
      </c>
      <c r="I68" s="62">
        <f>IFERROR(G68/E68*100,0)</f>
        <v>99.999999999999972</v>
      </c>
      <c r="J68" s="63"/>
      <c r="K68" s="63">
        <v>0</v>
      </c>
      <c r="L68" s="63">
        <v>2950.25</v>
      </c>
      <c r="M68" s="63">
        <v>2950.25</v>
      </c>
      <c r="N68" s="63">
        <v>2582.19</v>
      </c>
      <c r="O68" s="63">
        <v>2582.19</v>
      </c>
      <c r="P68" s="63">
        <v>2701.1570000000002</v>
      </c>
      <c r="Q68" s="63">
        <v>2189.46</v>
      </c>
      <c r="R68" s="63">
        <v>1562.4680000000001</v>
      </c>
      <c r="S68" s="63">
        <v>2299.88</v>
      </c>
      <c r="T68" s="63">
        <f>882.74+346.155-207.25</f>
        <v>1021.645</v>
      </c>
      <c r="U68" s="63">
        <v>795.93</v>
      </c>
      <c r="V68" s="63">
        <v>0</v>
      </c>
      <c r="W68" s="63">
        <v>0</v>
      </c>
      <c r="X68" s="63">
        <v>0</v>
      </c>
      <c r="Y68" s="63">
        <v>0</v>
      </c>
      <c r="Z68" s="63">
        <v>1758.44</v>
      </c>
      <c r="AA68" s="63">
        <v>0</v>
      </c>
      <c r="AB68" s="63">
        <v>3055.9409999999998</v>
      </c>
      <c r="AC68" s="63">
        <v>0</v>
      </c>
      <c r="AD68" s="63">
        <v>2831.2150000000001</v>
      </c>
      <c r="AE68" s="63">
        <v>0</v>
      </c>
      <c r="AF68" s="63">
        <f>3207.25+2688.741</f>
        <v>5895.991</v>
      </c>
      <c r="AG68" s="63">
        <v>0</v>
      </c>
      <c r="AH68" s="64" t="s">
        <v>354</v>
      </c>
      <c r="AI68" s="20"/>
    </row>
    <row r="69" spans="1:35" s="22" customFormat="1" ht="58.5" customHeight="1" x14ac:dyDescent="0.25">
      <c r="A69" s="540"/>
      <c r="B69" s="573"/>
      <c r="C69" s="126" t="s">
        <v>22</v>
      </c>
      <c r="D69" s="74">
        <f>SUM(J69,L69,N69,P69,R69,T69,V69,X69,Z69,AB69,AD69,AF69)</f>
        <v>178449.69899999999</v>
      </c>
      <c r="E69" s="62">
        <f>J69+L69+N69+P69+R69+T69</f>
        <v>110692.132</v>
      </c>
      <c r="F69" s="62">
        <f>G69</f>
        <v>108605.75</v>
      </c>
      <c r="G69" s="62">
        <f>SUM(K69,M69,O69,Q69,S69,U69,W69,Y69,AA69,AC69,AE69,AG69)</f>
        <v>108605.75</v>
      </c>
      <c r="H69" s="62">
        <f>IFERROR(G69/D69*100,0)</f>
        <v>60.860707868159537</v>
      </c>
      <c r="I69" s="62">
        <f>IFERROR(G69/E69*100,0)</f>
        <v>98.115148780402933</v>
      </c>
      <c r="J69" s="63">
        <v>10826.804</v>
      </c>
      <c r="K69" s="63">
        <v>5045.0659999999998</v>
      </c>
      <c r="L69" s="63">
        <v>23970.313999999998</v>
      </c>
      <c r="M69" s="63">
        <v>26319.394</v>
      </c>
      <c r="N69" s="63">
        <f>5000+23329.435</f>
        <v>28329.435000000001</v>
      </c>
      <c r="O69" s="63">
        <v>31364.46</v>
      </c>
      <c r="P69" s="63">
        <v>20247.016</v>
      </c>
      <c r="Q69" s="63">
        <v>13781.52</v>
      </c>
      <c r="R69" s="63">
        <v>20800.191999999999</v>
      </c>
      <c r="S69" s="63">
        <v>25250.06</v>
      </c>
      <c r="T69" s="63">
        <f>11518.371-5000</f>
        <v>6518.3709999999992</v>
      </c>
      <c r="U69" s="63">
        <v>6845.25</v>
      </c>
      <c r="V69" s="63">
        <v>0</v>
      </c>
      <c r="W69" s="63">
        <v>0</v>
      </c>
      <c r="X69" s="63">
        <v>0</v>
      </c>
      <c r="Y69" s="63">
        <v>0</v>
      </c>
      <c r="Z69" s="63">
        <v>11748.971</v>
      </c>
      <c r="AA69" s="63">
        <v>0</v>
      </c>
      <c r="AB69" s="63">
        <v>20744.464</v>
      </c>
      <c r="AC69" s="63">
        <v>0</v>
      </c>
      <c r="AD69" s="63">
        <v>20038.042000000001</v>
      </c>
      <c r="AE69" s="63">
        <v>0</v>
      </c>
      <c r="AF69" s="63">
        <v>15226.09</v>
      </c>
      <c r="AG69" s="63">
        <v>0</v>
      </c>
      <c r="AH69" s="63"/>
      <c r="AI69" s="20"/>
    </row>
    <row r="70" spans="1:35" s="22" customFormat="1" ht="45.75" customHeight="1" x14ac:dyDescent="0.25">
      <c r="A70" s="541"/>
      <c r="B70" s="574"/>
      <c r="C70" s="126" t="s">
        <v>21</v>
      </c>
      <c r="D70" s="74">
        <f>SUM(J70,L70,N70,P70,R70,T70,V70,X70,Z70,AB70,AD70,AF70)</f>
        <v>38113.296999999999</v>
      </c>
      <c r="E70" s="62">
        <f t="shared" ref="E70" si="126">J70+L70+N70+P70+R70+T70</f>
        <v>20895.113999999998</v>
      </c>
      <c r="F70" s="62">
        <f>G70</f>
        <v>20895.106</v>
      </c>
      <c r="G70" s="62">
        <f>SUM(K70,M70,O70,Q70,S70,U70,W70,Y70,AA70,AC70,AE70,AG70)</f>
        <v>20895.106</v>
      </c>
      <c r="H70" s="62">
        <f>IFERROR(G70/D70*100,0)</f>
        <v>54.823664297528495</v>
      </c>
      <c r="I70" s="62">
        <f>IFERROR(G70/E70*100,0)</f>
        <v>99.999961713537445</v>
      </c>
      <c r="J70" s="63">
        <v>2668.942</v>
      </c>
      <c r="K70" s="63">
        <v>1922.2660000000001</v>
      </c>
      <c r="L70" s="63">
        <v>4923.8860000000004</v>
      </c>
      <c r="M70" s="63">
        <v>4846.0200000000004</v>
      </c>
      <c r="N70" s="63">
        <f>4459.913-1036.75</f>
        <v>3423.1629999999996</v>
      </c>
      <c r="O70" s="63">
        <v>4247.7</v>
      </c>
      <c r="P70" s="63">
        <v>4190.04</v>
      </c>
      <c r="Q70" s="63">
        <v>3898.23</v>
      </c>
      <c r="R70" s="63">
        <v>4065.105</v>
      </c>
      <c r="S70" s="63">
        <v>3913.22</v>
      </c>
      <c r="T70" s="63">
        <f>2353.288-1036.75+307.44</f>
        <v>1623.9780000000001</v>
      </c>
      <c r="U70" s="63">
        <v>2067.67</v>
      </c>
      <c r="V70" s="63">
        <v>0</v>
      </c>
      <c r="W70" s="63">
        <v>0</v>
      </c>
      <c r="X70" s="63">
        <v>0</v>
      </c>
      <c r="Y70" s="63">
        <v>0</v>
      </c>
      <c r="Z70" s="63">
        <v>2834.835</v>
      </c>
      <c r="AA70" s="63">
        <v>0</v>
      </c>
      <c r="AB70" s="63">
        <f>4507.231-307.44</f>
        <v>4199.7910000000002</v>
      </c>
      <c r="AC70" s="63">
        <v>0</v>
      </c>
      <c r="AD70" s="63">
        <v>4158.5140000000001</v>
      </c>
      <c r="AE70" s="63">
        <v>0</v>
      </c>
      <c r="AF70" s="63">
        <f>2073.5+3951.543</f>
        <v>6025.0429999999997</v>
      </c>
      <c r="AG70" s="63">
        <v>0</v>
      </c>
      <c r="AH70" s="60"/>
      <c r="AI70" s="20"/>
    </row>
    <row r="71" spans="1:35" s="22" customFormat="1" ht="32.25" customHeight="1" x14ac:dyDescent="0.25">
      <c r="A71" s="153"/>
      <c r="B71" s="536" t="s">
        <v>255</v>
      </c>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8"/>
      <c r="AH71" s="48"/>
      <c r="AI71" s="20"/>
    </row>
    <row r="72" spans="1:35" s="21" customFormat="1" ht="23.25" customHeight="1" x14ac:dyDescent="0.25">
      <c r="A72" s="539" t="s">
        <v>38</v>
      </c>
      <c r="B72" s="542" t="s">
        <v>256</v>
      </c>
      <c r="C72" s="125" t="s">
        <v>20</v>
      </c>
      <c r="D72" s="70">
        <f>D74+D75+D73</f>
        <v>52663.19200000001</v>
      </c>
      <c r="E72" s="70">
        <f t="shared" ref="E72:G72" si="127">E74+E75+E73</f>
        <v>52244.902000000002</v>
      </c>
      <c r="F72" s="70">
        <f t="shared" si="127"/>
        <v>46435.64</v>
      </c>
      <c r="G72" s="70">
        <f t="shared" si="127"/>
        <v>46435.64</v>
      </c>
      <c r="H72" s="58">
        <f t="shared" ref="H72:H93" si="128">IFERROR(G72/D72*100,0)</f>
        <v>88.174754010353169</v>
      </c>
      <c r="I72" s="58">
        <f t="shared" ref="I72:I93" si="129">IFERROR(G72/E72*100,0)</f>
        <v>88.880710313132568</v>
      </c>
      <c r="J72" s="58">
        <f t="shared" ref="J72:AG72" si="130">J74+J75+J73</f>
        <v>518.59899999999993</v>
      </c>
      <c r="K72" s="58">
        <f t="shared" si="130"/>
        <v>418.6</v>
      </c>
      <c r="L72" s="58">
        <f t="shared" si="130"/>
        <v>81.510000000000005</v>
      </c>
      <c r="M72" s="58">
        <f t="shared" si="130"/>
        <v>111.495</v>
      </c>
      <c r="N72" s="58">
        <f t="shared" si="130"/>
        <v>1447.12</v>
      </c>
      <c r="O72" s="58">
        <f t="shared" si="130"/>
        <v>1447.1189999999999</v>
      </c>
      <c r="P72" s="58">
        <f t="shared" si="130"/>
        <v>13699.06</v>
      </c>
      <c r="Q72" s="58">
        <f t="shared" si="130"/>
        <v>11329.14</v>
      </c>
      <c r="R72" s="58">
        <f t="shared" si="130"/>
        <v>2835.0949999999998</v>
      </c>
      <c r="S72" s="58">
        <f t="shared" si="130"/>
        <v>2121.08</v>
      </c>
      <c r="T72" s="58">
        <f t="shared" si="130"/>
        <v>11759.248000000001</v>
      </c>
      <c r="U72" s="58">
        <f t="shared" si="130"/>
        <v>9218.3260000000009</v>
      </c>
      <c r="V72" s="58">
        <f t="shared" si="130"/>
        <v>10798.150000000001</v>
      </c>
      <c r="W72" s="58">
        <f t="shared" si="130"/>
        <v>10798.15</v>
      </c>
      <c r="X72" s="58">
        <f t="shared" si="130"/>
        <v>5000</v>
      </c>
      <c r="Y72" s="58">
        <f t="shared" si="130"/>
        <v>5000</v>
      </c>
      <c r="Z72" s="58">
        <f t="shared" si="130"/>
        <v>3637.0200000000004</v>
      </c>
      <c r="AA72" s="58">
        <f t="shared" si="130"/>
        <v>5159.09</v>
      </c>
      <c r="AB72" s="58">
        <f t="shared" si="130"/>
        <v>2469.1</v>
      </c>
      <c r="AC72" s="58">
        <f t="shared" si="130"/>
        <v>832.64</v>
      </c>
      <c r="AD72" s="58">
        <f t="shared" si="130"/>
        <v>418.29</v>
      </c>
      <c r="AE72" s="58">
        <f t="shared" si="130"/>
        <v>0</v>
      </c>
      <c r="AF72" s="58">
        <f t="shared" si="130"/>
        <v>0</v>
      </c>
      <c r="AG72" s="58">
        <f t="shared" si="130"/>
        <v>0</v>
      </c>
      <c r="AH72" s="60"/>
      <c r="AI72" s="23"/>
    </row>
    <row r="73" spans="1:35" s="21" customFormat="1" ht="24.75" hidden="1" customHeight="1" x14ac:dyDescent="0.25">
      <c r="A73" s="540"/>
      <c r="B73" s="543"/>
      <c r="C73" s="126" t="s">
        <v>52</v>
      </c>
      <c r="D73" s="74">
        <f>SUM(J73,L73,N73,P73,R73,T73,V73,X73,Z73,AB73,AD73,AF73)</f>
        <v>0</v>
      </c>
      <c r="E73" s="62">
        <f>J73</f>
        <v>0</v>
      </c>
      <c r="F73" s="62">
        <f>G73</f>
        <v>0</v>
      </c>
      <c r="G73" s="62">
        <f>SUM(K73,M73,O73,Q73,S73,U73,W73,Y73,AA73,AC73,AE73,AG73)</f>
        <v>0</v>
      </c>
      <c r="H73" s="62">
        <f t="shared" si="128"/>
        <v>0</v>
      </c>
      <c r="I73" s="62">
        <f t="shared" si="129"/>
        <v>0</v>
      </c>
      <c r="J73" s="62">
        <f>J77</f>
        <v>0</v>
      </c>
      <c r="K73" s="62">
        <f t="shared" ref="K73:AG74" si="131">K77</f>
        <v>0</v>
      </c>
      <c r="L73" s="62">
        <f t="shared" si="131"/>
        <v>0</v>
      </c>
      <c r="M73" s="62">
        <f t="shared" si="131"/>
        <v>0</v>
      </c>
      <c r="N73" s="62">
        <f t="shared" si="131"/>
        <v>0</v>
      </c>
      <c r="O73" s="62">
        <f t="shared" si="131"/>
        <v>0</v>
      </c>
      <c r="P73" s="62">
        <f t="shared" si="131"/>
        <v>0</v>
      </c>
      <c r="Q73" s="62">
        <f t="shared" si="131"/>
        <v>0</v>
      </c>
      <c r="R73" s="62">
        <f t="shared" si="131"/>
        <v>0</v>
      </c>
      <c r="S73" s="62">
        <f t="shared" si="131"/>
        <v>0</v>
      </c>
      <c r="T73" s="62">
        <f t="shared" si="131"/>
        <v>0</v>
      </c>
      <c r="U73" s="62">
        <f t="shared" si="131"/>
        <v>0</v>
      </c>
      <c r="V73" s="62">
        <f t="shared" si="131"/>
        <v>0</v>
      </c>
      <c r="W73" s="62">
        <f t="shared" si="131"/>
        <v>0</v>
      </c>
      <c r="X73" s="62">
        <f t="shared" si="131"/>
        <v>0</v>
      </c>
      <c r="Y73" s="62">
        <f t="shared" si="131"/>
        <v>0</v>
      </c>
      <c r="Z73" s="62">
        <f t="shared" si="131"/>
        <v>0</v>
      </c>
      <c r="AA73" s="62">
        <f t="shared" si="131"/>
        <v>0</v>
      </c>
      <c r="AB73" s="62">
        <f t="shared" si="131"/>
        <v>0</v>
      </c>
      <c r="AC73" s="62">
        <f t="shared" si="131"/>
        <v>0</v>
      </c>
      <c r="AD73" s="62">
        <f t="shared" si="131"/>
        <v>0</v>
      </c>
      <c r="AE73" s="62">
        <f t="shared" si="131"/>
        <v>0</v>
      </c>
      <c r="AF73" s="62">
        <f t="shared" si="131"/>
        <v>0</v>
      </c>
      <c r="AG73" s="62">
        <f t="shared" si="131"/>
        <v>0</v>
      </c>
      <c r="AH73" s="60"/>
      <c r="AI73" s="23"/>
    </row>
    <row r="74" spans="1:35" s="21" customFormat="1" ht="37.5" customHeight="1" x14ac:dyDescent="0.25">
      <c r="A74" s="540"/>
      <c r="B74" s="543"/>
      <c r="C74" s="126" t="s">
        <v>22</v>
      </c>
      <c r="D74" s="74">
        <f>SUM(J74,L74,N74,P74,R74,T74,V74,X74,Z74,AB74,AD74,AF74)</f>
        <v>34296.323000000004</v>
      </c>
      <c r="E74" s="62">
        <f>J74+L74+N74+P74+R74+T74+V74+X74+Z74+AB74</f>
        <v>33878.033000000003</v>
      </c>
      <c r="F74" s="62">
        <f>G74</f>
        <v>29801.629999999997</v>
      </c>
      <c r="G74" s="62">
        <f>SUM(K74,M74,O74,Q74,S74,U74,W74,Y74,AA74,AC74,AE74,AG74)</f>
        <v>29801.629999999997</v>
      </c>
      <c r="H74" s="62">
        <f t="shared" si="128"/>
        <v>86.894533854256011</v>
      </c>
      <c r="I74" s="62">
        <f t="shared" si="129"/>
        <v>87.967415345513118</v>
      </c>
      <c r="J74" s="63">
        <f>J78</f>
        <v>414.19299999999998</v>
      </c>
      <c r="K74" s="63">
        <f t="shared" si="131"/>
        <v>314.19</v>
      </c>
      <c r="L74" s="63">
        <f t="shared" si="131"/>
        <v>81.510000000000005</v>
      </c>
      <c r="M74" s="63">
        <f t="shared" si="131"/>
        <v>111.495</v>
      </c>
      <c r="N74" s="63">
        <f t="shared" si="131"/>
        <v>235.59</v>
      </c>
      <c r="O74" s="63">
        <f t="shared" si="131"/>
        <v>235.589</v>
      </c>
      <c r="P74" s="63">
        <f t="shared" si="131"/>
        <v>13699.06</v>
      </c>
      <c r="Q74" s="63">
        <f t="shared" si="131"/>
        <v>11329.14</v>
      </c>
      <c r="R74" s="63">
        <f t="shared" si="131"/>
        <v>805.14</v>
      </c>
      <c r="S74" s="63">
        <f t="shared" si="131"/>
        <v>805.14</v>
      </c>
      <c r="T74" s="63">
        <f t="shared" si="131"/>
        <v>28.79</v>
      </c>
      <c r="U74" s="63">
        <f t="shared" si="131"/>
        <v>28.786000000000001</v>
      </c>
      <c r="V74" s="63">
        <f t="shared" si="131"/>
        <v>10144.650000000001</v>
      </c>
      <c r="W74" s="63">
        <f t="shared" si="131"/>
        <v>10144.65</v>
      </c>
      <c r="X74" s="63">
        <f t="shared" si="131"/>
        <v>3000</v>
      </c>
      <c r="Y74" s="63">
        <f t="shared" si="131"/>
        <v>3000</v>
      </c>
      <c r="Z74" s="63">
        <f t="shared" si="131"/>
        <v>3000</v>
      </c>
      <c r="AA74" s="63">
        <f t="shared" si="131"/>
        <v>3000</v>
      </c>
      <c r="AB74" s="63">
        <f t="shared" si="131"/>
        <v>2469.1</v>
      </c>
      <c r="AC74" s="63">
        <f t="shared" si="131"/>
        <v>832.64</v>
      </c>
      <c r="AD74" s="63">
        <f t="shared" si="131"/>
        <v>418.29</v>
      </c>
      <c r="AE74" s="63">
        <f t="shared" si="131"/>
        <v>0</v>
      </c>
      <c r="AF74" s="63">
        <f t="shared" si="131"/>
        <v>0</v>
      </c>
      <c r="AG74" s="63">
        <f t="shared" si="131"/>
        <v>0</v>
      </c>
      <c r="AH74" s="60"/>
      <c r="AI74" s="23"/>
    </row>
    <row r="75" spans="1:35" s="22" customFormat="1" ht="33" customHeight="1" x14ac:dyDescent="0.25">
      <c r="A75" s="540"/>
      <c r="B75" s="544"/>
      <c r="C75" s="126" t="s">
        <v>21</v>
      </c>
      <c r="D75" s="74">
        <f>SUM(J75,L75,N75,P75,R75,T75,V75,X75,Z75,AB75,AD75,AF75)</f>
        <v>18366.869000000002</v>
      </c>
      <c r="E75" s="62">
        <f>J75+L75+N75+P75+R75+T75+V75+X75+Z75+AB75</f>
        <v>18366.869000000002</v>
      </c>
      <c r="F75" s="62">
        <f>G75</f>
        <v>16634.010000000002</v>
      </c>
      <c r="G75" s="62">
        <f>SUM(K75,M75,O75,Q75,S75,U75,W75,Y75,AA75,AC75,AE75,AG75)</f>
        <v>16634.010000000002</v>
      </c>
      <c r="H75" s="62">
        <f t="shared" si="128"/>
        <v>90.565299943065952</v>
      </c>
      <c r="I75" s="62">
        <f>IFERROR(G75/E75*100,0)</f>
        <v>90.565299943065952</v>
      </c>
      <c r="J75" s="67">
        <f t="shared" ref="J75:AG75" si="132">J80</f>
        <v>104.40600000000001</v>
      </c>
      <c r="K75" s="67">
        <f t="shared" si="132"/>
        <v>104.41</v>
      </c>
      <c r="L75" s="67">
        <f t="shared" si="132"/>
        <v>0</v>
      </c>
      <c r="M75" s="67">
        <f t="shared" si="132"/>
        <v>0</v>
      </c>
      <c r="N75" s="67">
        <f t="shared" si="132"/>
        <v>1211.53</v>
      </c>
      <c r="O75" s="67">
        <f t="shared" si="132"/>
        <v>1211.53</v>
      </c>
      <c r="P75" s="67">
        <f t="shared" si="132"/>
        <v>0</v>
      </c>
      <c r="Q75" s="67">
        <f t="shared" si="132"/>
        <v>0</v>
      </c>
      <c r="R75" s="67">
        <f t="shared" si="132"/>
        <v>2029.9549999999999</v>
      </c>
      <c r="S75" s="67">
        <f t="shared" si="132"/>
        <v>1315.94</v>
      </c>
      <c r="T75" s="67">
        <f t="shared" si="132"/>
        <v>11730.458000000001</v>
      </c>
      <c r="U75" s="67">
        <f t="shared" si="132"/>
        <v>9189.5400000000009</v>
      </c>
      <c r="V75" s="67">
        <f t="shared" si="132"/>
        <v>653.5</v>
      </c>
      <c r="W75" s="67">
        <f t="shared" si="132"/>
        <v>653.5</v>
      </c>
      <c r="X75" s="67">
        <f t="shared" si="132"/>
        <v>2000</v>
      </c>
      <c r="Y75" s="67">
        <f t="shared" si="132"/>
        <v>2000</v>
      </c>
      <c r="Z75" s="67">
        <f t="shared" si="132"/>
        <v>637.02000000000021</v>
      </c>
      <c r="AA75" s="67">
        <f t="shared" si="132"/>
        <v>2159.09</v>
      </c>
      <c r="AB75" s="67">
        <f t="shared" si="132"/>
        <v>0</v>
      </c>
      <c r="AC75" s="67">
        <f t="shared" si="132"/>
        <v>0</v>
      </c>
      <c r="AD75" s="67">
        <f t="shared" si="132"/>
        <v>0</v>
      </c>
      <c r="AE75" s="67">
        <f t="shared" si="132"/>
        <v>0</v>
      </c>
      <c r="AF75" s="67">
        <f t="shared" si="132"/>
        <v>0</v>
      </c>
      <c r="AG75" s="67">
        <f t="shared" si="132"/>
        <v>0</v>
      </c>
      <c r="AH75" s="64"/>
      <c r="AI75" s="20"/>
    </row>
    <row r="76" spans="1:35" s="21" customFormat="1" ht="72.75" customHeight="1" x14ac:dyDescent="0.25">
      <c r="A76" s="127"/>
      <c r="B76" s="575" t="s">
        <v>257</v>
      </c>
      <c r="C76" s="125" t="s">
        <v>20</v>
      </c>
      <c r="D76" s="70">
        <f>D78+D80+D77+D79</f>
        <v>60733.102000000014</v>
      </c>
      <c r="E76" s="70">
        <f t="shared" ref="E76:G76" si="133">E78+E80+E77+E79</f>
        <v>60314.812000000005</v>
      </c>
      <c r="F76" s="70">
        <f t="shared" si="133"/>
        <v>54505.55</v>
      </c>
      <c r="G76" s="70">
        <f t="shared" si="133"/>
        <v>54505.55</v>
      </c>
      <c r="H76" s="62">
        <f t="shared" si="128"/>
        <v>89.746033390489416</v>
      </c>
      <c r="I76" s="62">
        <f>IFERROR(G76/E76*100,0)</f>
        <v>90.3684322186066</v>
      </c>
      <c r="J76" s="58">
        <f t="shared" ref="J76:AG76" si="134">J78+J80+J77</f>
        <v>518.59899999999993</v>
      </c>
      <c r="K76" s="58">
        <f t="shared" si="134"/>
        <v>418.6</v>
      </c>
      <c r="L76" s="58">
        <f t="shared" si="134"/>
        <v>81.510000000000005</v>
      </c>
      <c r="M76" s="58">
        <f t="shared" si="134"/>
        <v>111.495</v>
      </c>
      <c r="N76" s="58">
        <f t="shared" si="134"/>
        <v>1447.12</v>
      </c>
      <c r="O76" s="58">
        <f t="shared" si="134"/>
        <v>1447.1189999999999</v>
      </c>
      <c r="P76" s="58">
        <f t="shared" si="134"/>
        <v>13699.06</v>
      </c>
      <c r="Q76" s="58">
        <f t="shared" si="134"/>
        <v>11329.14</v>
      </c>
      <c r="R76" s="58">
        <f t="shared" si="134"/>
        <v>2835.0949999999998</v>
      </c>
      <c r="S76" s="58">
        <f t="shared" si="134"/>
        <v>2121.08</v>
      </c>
      <c r="T76" s="58">
        <f t="shared" si="134"/>
        <v>11759.248000000001</v>
      </c>
      <c r="U76" s="58">
        <f t="shared" si="134"/>
        <v>9218.3260000000009</v>
      </c>
      <c r="V76" s="58">
        <f t="shared" si="134"/>
        <v>10798.150000000001</v>
      </c>
      <c r="W76" s="58">
        <f t="shared" si="134"/>
        <v>10798.15</v>
      </c>
      <c r="X76" s="58">
        <f t="shared" si="134"/>
        <v>5000</v>
      </c>
      <c r="Y76" s="58">
        <f t="shared" si="134"/>
        <v>5000</v>
      </c>
      <c r="Z76" s="58">
        <f t="shared" si="134"/>
        <v>3637.0200000000004</v>
      </c>
      <c r="AA76" s="58">
        <f t="shared" si="134"/>
        <v>5159.09</v>
      </c>
      <c r="AB76" s="58">
        <f t="shared" si="134"/>
        <v>2469.1</v>
      </c>
      <c r="AC76" s="58">
        <f t="shared" si="134"/>
        <v>832.64</v>
      </c>
      <c r="AD76" s="58">
        <f t="shared" si="134"/>
        <v>418.29</v>
      </c>
      <c r="AE76" s="58">
        <f t="shared" si="134"/>
        <v>0</v>
      </c>
      <c r="AF76" s="58">
        <f t="shared" si="134"/>
        <v>0</v>
      </c>
      <c r="AG76" s="58">
        <f t="shared" si="134"/>
        <v>0</v>
      </c>
      <c r="AH76" s="60"/>
      <c r="AI76" s="23"/>
    </row>
    <row r="77" spans="1:35" s="21" customFormat="1" ht="7.5" hidden="1" customHeight="1" x14ac:dyDescent="0.25">
      <c r="A77" s="127"/>
      <c r="B77" s="576"/>
      <c r="C77" s="126" t="s">
        <v>52</v>
      </c>
      <c r="D77" s="74">
        <f>SUM(J77,L77,N77,P77,R77,T77,V77,X77,Z77,AB77,AD77,AF77)</f>
        <v>0</v>
      </c>
      <c r="E77" s="62">
        <f>J77+L77+N77+P77+R77</f>
        <v>0</v>
      </c>
      <c r="F77" s="62">
        <f>G77</f>
        <v>0</v>
      </c>
      <c r="G77" s="62">
        <f>SUM(K77,M77,O77,Q77,S77,U77,W77,Y77,AA77,AC77,AE77,AG77)</f>
        <v>0</v>
      </c>
      <c r="H77" s="62">
        <f t="shared" si="128"/>
        <v>0</v>
      </c>
      <c r="I77" s="62">
        <f t="shared" si="129"/>
        <v>0</v>
      </c>
      <c r="J77" s="62">
        <v>0</v>
      </c>
      <c r="K77" s="62">
        <v>0</v>
      </c>
      <c r="L77" s="62">
        <v>0</v>
      </c>
      <c r="M77" s="62">
        <v>0</v>
      </c>
      <c r="N77" s="62">
        <v>0</v>
      </c>
      <c r="O77" s="62">
        <v>0</v>
      </c>
      <c r="P77" s="62">
        <v>0</v>
      </c>
      <c r="Q77" s="62">
        <v>0</v>
      </c>
      <c r="R77" s="62">
        <v>0</v>
      </c>
      <c r="S77" s="62">
        <v>0</v>
      </c>
      <c r="T77" s="62">
        <v>0</v>
      </c>
      <c r="U77" s="62">
        <v>0</v>
      </c>
      <c r="V77" s="62">
        <v>0</v>
      </c>
      <c r="W77" s="62">
        <v>0</v>
      </c>
      <c r="X77" s="62">
        <v>0</v>
      </c>
      <c r="Y77" s="62">
        <v>0</v>
      </c>
      <c r="Z77" s="62">
        <v>0</v>
      </c>
      <c r="AA77" s="62">
        <v>0</v>
      </c>
      <c r="AB77" s="62">
        <v>0</v>
      </c>
      <c r="AC77" s="62">
        <v>0</v>
      </c>
      <c r="AD77" s="62">
        <v>0</v>
      </c>
      <c r="AE77" s="62">
        <v>0</v>
      </c>
      <c r="AF77" s="62">
        <v>0</v>
      </c>
      <c r="AG77" s="62">
        <v>0</v>
      </c>
      <c r="AH77" s="60"/>
      <c r="AI77" s="23"/>
    </row>
    <row r="78" spans="1:35" s="21" customFormat="1" ht="55.5" customHeight="1" x14ac:dyDescent="0.25">
      <c r="A78" s="127"/>
      <c r="B78" s="576"/>
      <c r="C78" s="126" t="s">
        <v>22</v>
      </c>
      <c r="D78" s="74">
        <f>SUM(J78,L78,N78,P78,R78,T78,V78,X78,Z78,AB78,AD78,AF78)</f>
        <v>34296.323000000004</v>
      </c>
      <c r="E78" s="62">
        <f>J78+L78+N78+P78+R78+T78+V78+X78+Z78+AB78</f>
        <v>33878.033000000003</v>
      </c>
      <c r="F78" s="62">
        <f>G78</f>
        <v>29801.629999999997</v>
      </c>
      <c r="G78" s="62">
        <f>SUM(K78,M78,O78,Q78,S78,U78,W78,Y78,AA78,AC78,AE78,AG78)</f>
        <v>29801.629999999997</v>
      </c>
      <c r="H78" s="62">
        <f t="shared" si="128"/>
        <v>86.894533854256011</v>
      </c>
      <c r="I78" s="62">
        <f t="shared" si="129"/>
        <v>87.967415345513118</v>
      </c>
      <c r="J78" s="63">
        <v>414.19299999999998</v>
      </c>
      <c r="K78" s="63">
        <v>314.19</v>
      </c>
      <c r="L78" s="63">
        <v>81.510000000000005</v>
      </c>
      <c r="M78" s="63">
        <v>111.495</v>
      </c>
      <c r="N78" s="63">
        <v>235.59</v>
      </c>
      <c r="O78" s="63">
        <v>235.589</v>
      </c>
      <c r="P78" s="63">
        <v>13699.06</v>
      </c>
      <c r="Q78" s="63">
        <v>11329.14</v>
      </c>
      <c r="R78" s="63">
        <v>805.14</v>
      </c>
      <c r="S78" s="63">
        <v>805.14</v>
      </c>
      <c r="T78" s="63">
        <v>28.79</v>
      </c>
      <c r="U78" s="63">
        <v>28.786000000000001</v>
      </c>
      <c r="V78" s="63">
        <f>7745.89-2473.46+4872.22</f>
        <v>10144.650000000001</v>
      </c>
      <c r="W78" s="63">
        <v>10144.65</v>
      </c>
      <c r="X78" s="63">
        <v>3000</v>
      </c>
      <c r="Y78" s="63">
        <v>3000</v>
      </c>
      <c r="Z78" s="63">
        <v>3000</v>
      </c>
      <c r="AA78" s="63">
        <v>3000</v>
      </c>
      <c r="AB78" s="63">
        <f>1636.46+832.64</f>
        <v>2469.1</v>
      </c>
      <c r="AC78" s="63">
        <v>832.64</v>
      </c>
      <c r="AD78" s="63">
        <v>418.29</v>
      </c>
      <c r="AE78" s="63">
        <v>0</v>
      </c>
      <c r="AF78" s="63"/>
      <c r="AG78" s="63">
        <v>0</v>
      </c>
      <c r="AH78" s="64" t="s">
        <v>357</v>
      </c>
      <c r="AI78" s="23"/>
    </row>
    <row r="79" spans="1:35" s="21" customFormat="1" ht="71.25" customHeight="1" x14ac:dyDescent="0.25">
      <c r="A79" s="127"/>
      <c r="B79" s="576"/>
      <c r="C79" s="126" t="s">
        <v>337</v>
      </c>
      <c r="D79" s="74">
        <f>SUM(J79,L79,N79,P79,R79,T79,V79,X79,Z79,AB79,AD79,AF79)</f>
        <v>8069.91</v>
      </c>
      <c r="E79" s="62">
        <f t="shared" ref="E79" si="135">J79+L79+N79+P79+R79+T79+V79+X79+Z79+AB79</f>
        <v>8069.91</v>
      </c>
      <c r="F79" s="62">
        <f>G79</f>
        <v>8069.91</v>
      </c>
      <c r="G79" s="62">
        <f>SUM(K79,M79,O79,Q79,S79,U79,W79,Y79,AA79,AC79,AE79,AG79)</f>
        <v>8069.91</v>
      </c>
      <c r="H79" s="62">
        <f t="shared" ref="H79" si="136">IFERROR(G79/D79*100,0)</f>
        <v>100</v>
      </c>
      <c r="I79" s="62">
        <f t="shared" ref="I79" si="137">IFERROR(G79/E79*100,0)</f>
        <v>100</v>
      </c>
      <c r="J79" s="63"/>
      <c r="K79" s="63"/>
      <c r="L79" s="63"/>
      <c r="M79" s="63"/>
      <c r="N79" s="63"/>
      <c r="O79" s="63"/>
      <c r="P79" s="63">
        <v>5900</v>
      </c>
      <c r="Q79" s="63">
        <v>5900</v>
      </c>
      <c r="R79" s="63"/>
      <c r="S79" s="63"/>
      <c r="T79" s="63">
        <v>2169.91</v>
      </c>
      <c r="U79" s="63">
        <v>2169.91</v>
      </c>
      <c r="V79" s="63"/>
      <c r="W79" s="63"/>
      <c r="X79" s="63"/>
      <c r="Y79" s="63"/>
      <c r="Z79" s="63"/>
      <c r="AA79" s="63"/>
      <c r="AB79" s="63"/>
      <c r="AC79" s="63"/>
      <c r="AD79" s="63"/>
      <c r="AE79" s="63"/>
      <c r="AF79" s="63"/>
      <c r="AG79" s="63"/>
      <c r="AH79" s="60"/>
      <c r="AI79" s="23"/>
    </row>
    <row r="80" spans="1:35" s="22" customFormat="1" ht="77.25" customHeight="1" x14ac:dyDescent="0.25">
      <c r="A80" s="127"/>
      <c r="B80" s="577"/>
      <c r="C80" s="126" t="s">
        <v>21</v>
      </c>
      <c r="D80" s="74">
        <f>SUM(J80,L80,N80,P80,R80,T80,V80,X80,Z80,AB80,AD80,AF80)</f>
        <v>18366.869000000002</v>
      </c>
      <c r="E80" s="62">
        <f>J80+L80+N80+P80+R80+T80+V80+X80+Z80+AB80</f>
        <v>18366.869000000002</v>
      </c>
      <c r="F80" s="62">
        <f>G80</f>
        <v>16634.010000000002</v>
      </c>
      <c r="G80" s="62">
        <f>SUM(K80,M80,O80,Q80,S80,U80,W80,Y80,AA80,AC80,AE80,AG80)</f>
        <v>16634.010000000002</v>
      </c>
      <c r="H80" s="62">
        <f>IFERROR(G80/D80*100,0)</f>
        <v>90.565299943065952</v>
      </c>
      <c r="I80" s="62">
        <f>IFERROR(G80/E80*100,0)</f>
        <v>90.565299943065952</v>
      </c>
      <c r="J80" s="67">
        <v>104.40600000000001</v>
      </c>
      <c r="K80" s="67">
        <v>104.41</v>
      </c>
      <c r="L80" s="67">
        <v>0</v>
      </c>
      <c r="M80" s="67">
        <v>0</v>
      </c>
      <c r="N80" s="67">
        <v>1211.53</v>
      </c>
      <c r="O80" s="67">
        <v>1211.53</v>
      </c>
      <c r="P80" s="67">
        <v>0</v>
      </c>
      <c r="Q80" s="67">
        <v>0</v>
      </c>
      <c r="R80" s="67">
        <v>2029.9549999999999</v>
      </c>
      <c r="S80" s="67">
        <v>1315.94</v>
      </c>
      <c r="T80" s="67">
        <f>9002.92+2727.538</f>
        <v>11730.458000000001</v>
      </c>
      <c r="U80" s="67">
        <v>9189.5400000000009</v>
      </c>
      <c r="V80" s="67">
        <v>653.5</v>
      </c>
      <c r="W80" s="67">
        <v>653.5</v>
      </c>
      <c r="X80" s="67">
        <v>2000</v>
      </c>
      <c r="Y80" s="67">
        <v>2000</v>
      </c>
      <c r="Z80" s="67">
        <f>2159.09-1522.07</f>
        <v>637.02000000000021</v>
      </c>
      <c r="AA80" s="67">
        <v>2159.09</v>
      </c>
      <c r="AB80" s="67">
        <v>0</v>
      </c>
      <c r="AC80" s="67">
        <v>0</v>
      </c>
      <c r="AD80" s="67">
        <v>0</v>
      </c>
      <c r="AE80" s="67">
        <v>0</v>
      </c>
      <c r="AF80" s="67"/>
      <c r="AG80" s="67">
        <v>0</v>
      </c>
      <c r="AH80" s="64"/>
      <c r="AI80" s="20"/>
    </row>
    <row r="81" spans="1:35" s="30" customFormat="1" ht="27" customHeight="1" x14ac:dyDescent="0.25">
      <c r="A81" s="569" t="s">
        <v>258</v>
      </c>
      <c r="B81" s="578" t="s">
        <v>259</v>
      </c>
      <c r="C81" s="123" t="s">
        <v>20</v>
      </c>
      <c r="D81" s="70">
        <f>D82</f>
        <v>83400.797000000006</v>
      </c>
      <c r="E81" s="70">
        <f t="shared" ref="E81:G81" si="138">E82</f>
        <v>67842.216</v>
      </c>
      <c r="F81" s="70">
        <f t="shared" si="138"/>
        <v>50336.74500000001</v>
      </c>
      <c r="G81" s="70">
        <f t="shared" si="138"/>
        <v>50336.74500000001</v>
      </c>
      <c r="H81" s="70">
        <f t="shared" si="128"/>
        <v>60.355232576494458</v>
      </c>
      <c r="I81" s="70">
        <f t="shared" si="129"/>
        <v>74.196787734645937</v>
      </c>
      <c r="J81" s="71">
        <f t="shared" ref="J81:AG81" si="139">SUM(J82:J82)</f>
        <v>14188.016</v>
      </c>
      <c r="K81" s="71">
        <f t="shared" si="139"/>
        <v>10469.1</v>
      </c>
      <c r="L81" s="71">
        <f t="shared" si="139"/>
        <v>9474.8709999999992</v>
      </c>
      <c r="M81" s="71">
        <f t="shared" si="139"/>
        <v>7833.5049999999992</v>
      </c>
      <c r="N81" s="71">
        <f t="shared" si="139"/>
        <v>7719.646999999999</v>
      </c>
      <c r="O81" s="71">
        <f t="shared" si="139"/>
        <v>8012.85</v>
      </c>
      <c r="P81" s="71">
        <f t="shared" si="139"/>
        <v>10438.242999999999</v>
      </c>
      <c r="Q81" s="71">
        <f t="shared" si="139"/>
        <v>10574.71</v>
      </c>
      <c r="R81" s="71">
        <f t="shared" si="139"/>
        <v>7092.9680000000008</v>
      </c>
      <c r="S81" s="71">
        <f t="shared" si="139"/>
        <v>6871.2000000000007</v>
      </c>
      <c r="T81" s="71">
        <f t="shared" si="139"/>
        <v>5483.1509999999998</v>
      </c>
      <c r="U81" s="71">
        <f t="shared" si="139"/>
        <v>4893.1099999999997</v>
      </c>
      <c r="V81" s="71">
        <f t="shared" si="139"/>
        <v>180.77099999999999</v>
      </c>
      <c r="W81" s="71">
        <f t="shared" si="139"/>
        <v>0</v>
      </c>
      <c r="X81" s="71">
        <f t="shared" si="139"/>
        <v>182.27199999999999</v>
      </c>
      <c r="Y81" s="71">
        <f t="shared" si="139"/>
        <v>0</v>
      </c>
      <c r="Z81" s="71">
        <f t="shared" si="139"/>
        <v>1281.3400000000001</v>
      </c>
      <c r="AA81" s="71">
        <f t="shared" si="139"/>
        <v>1055.98</v>
      </c>
      <c r="AB81" s="71">
        <f t="shared" si="139"/>
        <v>11800.937</v>
      </c>
      <c r="AC81" s="71">
        <f t="shared" si="139"/>
        <v>626.29</v>
      </c>
      <c r="AD81" s="71">
        <f t="shared" si="139"/>
        <v>5395.8029999999999</v>
      </c>
      <c r="AE81" s="71">
        <f t="shared" si="139"/>
        <v>0</v>
      </c>
      <c r="AF81" s="71">
        <f t="shared" si="139"/>
        <v>10162.778</v>
      </c>
      <c r="AG81" s="71">
        <f t="shared" si="139"/>
        <v>0</v>
      </c>
      <c r="AH81" s="72"/>
      <c r="AI81" s="29"/>
    </row>
    <row r="82" spans="1:35" s="31" customFormat="1" ht="72" customHeight="1" x14ac:dyDescent="0.25">
      <c r="A82" s="570"/>
      <c r="B82" s="579"/>
      <c r="C82" s="124" t="s">
        <v>21</v>
      </c>
      <c r="D82" s="74">
        <f>SUM(J82,L82,N82,P82,R82,T82,V82,X82,Z82,AB82,AD82,AF82)</f>
        <v>83400.797000000006</v>
      </c>
      <c r="E82" s="74">
        <f>J82+L82+N82+P82+R82+T82+V82+X82+Z82+AB82</f>
        <v>67842.216</v>
      </c>
      <c r="F82" s="74">
        <f>G82</f>
        <v>50336.74500000001</v>
      </c>
      <c r="G82" s="74">
        <f>SUM(K82,M82,O82,Q82,S82,U82,W82,Y82,AA82,AC82,AE82,AG82)</f>
        <v>50336.74500000001</v>
      </c>
      <c r="H82" s="74">
        <f t="shared" si="128"/>
        <v>60.355232576494458</v>
      </c>
      <c r="I82" s="74">
        <f t="shared" si="129"/>
        <v>74.196787734645937</v>
      </c>
      <c r="J82" s="67">
        <f>J85+J87+J89+J91+J93</f>
        <v>14188.016</v>
      </c>
      <c r="K82" s="67">
        <f t="shared" ref="K82:AG82" si="140">K85+K87+K89+K91+K93</f>
        <v>10469.1</v>
      </c>
      <c r="L82" s="67">
        <f t="shared" si="140"/>
        <v>9474.8709999999992</v>
      </c>
      <c r="M82" s="67">
        <f t="shared" si="140"/>
        <v>7833.5049999999992</v>
      </c>
      <c r="N82" s="67">
        <f t="shared" si="140"/>
        <v>7719.646999999999</v>
      </c>
      <c r="O82" s="67">
        <f t="shared" si="140"/>
        <v>8012.85</v>
      </c>
      <c r="P82" s="67">
        <f t="shared" si="140"/>
        <v>10438.242999999999</v>
      </c>
      <c r="Q82" s="67">
        <f t="shared" si="140"/>
        <v>10574.71</v>
      </c>
      <c r="R82" s="67">
        <f t="shared" si="140"/>
        <v>7092.9680000000008</v>
      </c>
      <c r="S82" s="67">
        <f t="shared" si="140"/>
        <v>6871.2000000000007</v>
      </c>
      <c r="T82" s="67">
        <f t="shared" si="140"/>
        <v>5483.1509999999998</v>
      </c>
      <c r="U82" s="67">
        <f t="shared" si="140"/>
        <v>4893.1099999999997</v>
      </c>
      <c r="V82" s="67">
        <f t="shared" si="140"/>
        <v>180.77099999999999</v>
      </c>
      <c r="W82" s="67">
        <f t="shared" si="140"/>
        <v>0</v>
      </c>
      <c r="X82" s="67">
        <f t="shared" si="140"/>
        <v>182.27199999999999</v>
      </c>
      <c r="Y82" s="67">
        <f t="shared" si="140"/>
        <v>0</v>
      </c>
      <c r="Z82" s="67">
        <f t="shared" si="140"/>
        <v>1281.3400000000001</v>
      </c>
      <c r="AA82" s="67">
        <f t="shared" si="140"/>
        <v>1055.98</v>
      </c>
      <c r="AB82" s="67">
        <f t="shared" si="140"/>
        <v>11800.937</v>
      </c>
      <c r="AC82" s="67">
        <f t="shared" si="140"/>
        <v>626.29</v>
      </c>
      <c r="AD82" s="67">
        <f t="shared" si="140"/>
        <v>5395.8029999999999</v>
      </c>
      <c r="AE82" s="67">
        <f t="shared" si="140"/>
        <v>0</v>
      </c>
      <c r="AF82" s="67">
        <f t="shared" si="140"/>
        <v>10162.778</v>
      </c>
      <c r="AG82" s="67">
        <f t="shared" si="140"/>
        <v>0</v>
      </c>
      <c r="AH82" s="75"/>
      <c r="AI82" s="29"/>
    </row>
    <row r="83" spans="1:35" s="10" customFormat="1" ht="30.75" customHeight="1" x14ac:dyDescent="0.25">
      <c r="A83" s="569"/>
      <c r="B83" s="575" t="s">
        <v>260</v>
      </c>
      <c r="C83" s="123" t="s">
        <v>20</v>
      </c>
      <c r="D83" s="70">
        <f>D85+D84</f>
        <v>12465.899999999998</v>
      </c>
      <c r="E83" s="70">
        <f t="shared" ref="E83:I83" si="141">E85+E84</f>
        <v>11974.899999999998</v>
      </c>
      <c r="F83" s="70">
        <f t="shared" si="141"/>
        <v>10922.191999999999</v>
      </c>
      <c r="G83" s="70">
        <f t="shared" si="141"/>
        <v>10922.191999999999</v>
      </c>
      <c r="H83" s="70">
        <f t="shared" si="141"/>
        <v>90.663921838813309</v>
      </c>
      <c r="I83" s="70">
        <f t="shared" si="141"/>
        <v>94.516151922394627</v>
      </c>
      <c r="J83" s="71">
        <f t="shared" ref="J83:AG83" si="142">SUM(J85:J85)</f>
        <v>902.625</v>
      </c>
      <c r="K83" s="71">
        <f t="shared" si="142"/>
        <v>837.72</v>
      </c>
      <c r="L83" s="71">
        <f t="shared" si="142"/>
        <v>3086.0750000000003</v>
      </c>
      <c r="M83" s="71">
        <f t="shared" si="142"/>
        <v>2998.502</v>
      </c>
      <c r="N83" s="71">
        <f t="shared" si="142"/>
        <v>795.5</v>
      </c>
      <c r="O83" s="71">
        <f t="shared" si="142"/>
        <v>826.52</v>
      </c>
      <c r="P83" s="71">
        <f t="shared" si="142"/>
        <v>4379.2199999999993</v>
      </c>
      <c r="Q83" s="71">
        <f t="shared" si="142"/>
        <v>4466.2</v>
      </c>
      <c r="R83" s="71">
        <f t="shared" si="142"/>
        <v>768.88</v>
      </c>
      <c r="S83" s="71">
        <f t="shared" si="142"/>
        <v>715.48</v>
      </c>
      <c r="T83" s="71">
        <f t="shared" si="142"/>
        <v>521.29999999999995</v>
      </c>
      <c r="U83" s="71">
        <f t="shared" si="142"/>
        <v>21.79</v>
      </c>
      <c r="V83" s="71">
        <f t="shared" si="142"/>
        <v>0</v>
      </c>
      <c r="W83" s="71">
        <f t="shared" si="142"/>
        <v>0</v>
      </c>
      <c r="X83" s="71">
        <f t="shared" si="142"/>
        <v>0</v>
      </c>
      <c r="Y83" s="71">
        <f t="shared" si="142"/>
        <v>0</v>
      </c>
      <c r="Z83" s="71">
        <f t="shared" si="142"/>
        <v>944.72</v>
      </c>
      <c r="AA83" s="71">
        <f t="shared" si="142"/>
        <v>1055.98</v>
      </c>
      <c r="AB83" s="71">
        <f t="shared" si="142"/>
        <v>157.57999999999998</v>
      </c>
      <c r="AC83" s="71">
        <f t="shared" si="142"/>
        <v>0</v>
      </c>
      <c r="AD83" s="71">
        <f t="shared" si="142"/>
        <v>0</v>
      </c>
      <c r="AE83" s="71">
        <f t="shared" si="142"/>
        <v>0</v>
      </c>
      <c r="AF83" s="71">
        <f t="shared" si="142"/>
        <v>491.00000000000057</v>
      </c>
      <c r="AG83" s="71">
        <f t="shared" si="142"/>
        <v>0</v>
      </c>
      <c r="AH83" s="72"/>
    </row>
    <row r="84" spans="1:35" s="10" customFormat="1" ht="30.75" customHeight="1" x14ac:dyDescent="0.25">
      <c r="A84" s="580"/>
      <c r="B84" s="576"/>
      <c r="C84" s="124" t="s">
        <v>347</v>
      </c>
      <c r="D84" s="74">
        <f>SUM(J84,L84,N84,P84,R84,T84,V84,X84,Z84,AB84,AD84,AF84)</f>
        <v>419</v>
      </c>
      <c r="E84" s="74">
        <f>J84+L84+N84+P84+R84+T84+V84+X84+Z84+AB84</f>
        <v>419</v>
      </c>
      <c r="F84" s="74">
        <f>G84</f>
        <v>0</v>
      </c>
      <c r="G84" s="74">
        <f>SUM(K84,M84,O84,Q84,S84,U84,W84,Y84,AA84,AC84,AE84,AG84)</f>
        <v>0</v>
      </c>
      <c r="H84" s="74">
        <f t="shared" ref="H84" si="143">IFERROR(G84/D84*100,0)</f>
        <v>0</v>
      </c>
      <c r="I84" s="74">
        <f t="shared" ref="I84" si="144">IFERROR(G84/E84*100,0)</f>
        <v>0</v>
      </c>
      <c r="J84" s="71"/>
      <c r="K84" s="71"/>
      <c r="L84" s="71"/>
      <c r="M84" s="71"/>
      <c r="N84" s="71"/>
      <c r="O84" s="71"/>
      <c r="P84" s="71"/>
      <c r="Q84" s="71"/>
      <c r="R84" s="67">
        <v>419</v>
      </c>
      <c r="S84" s="71"/>
      <c r="T84" s="71"/>
      <c r="U84" s="71"/>
      <c r="V84" s="71"/>
      <c r="W84" s="71"/>
      <c r="X84" s="71"/>
      <c r="Y84" s="71"/>
      <c r="Z84" s="71"/>
      <c r="AA84" s="71"/>
      <c r="AB84" s="71"/>
      <c r="AC84" s="71"/>
      <c r="AD84" s="71"/>
      <c r="AE84" s="71"/>
      <c r="AF84" s="71"/>
      <c r="AG84" s="71"/>
      <c r="AH84" s="72"/>
    </row>
    <row r="85" spans="1:35" s="10" customFormat="1" ht="41.25" customHeight="1" x14ac:dyDescent="0.25">
      <c r="A85" s="570"/>
      <c r="B85" s="576"/>
      <c r="C85" s="124" t="s">
        <v>21</v>
      </c>
      <c r="D85" s="74">
        <f>SUM(J85,L85,N85,P85,R85,T85,V85,X85,Z85,AB85,AD85,AF85)</f>
        <v>12046.899999999998</v>
      </c>
      <c r="E85" s="74">
        <f>J85+L85+N85+P85+R85+T85+V85+X85+Z85+AB85</f>
        <v>11555.899999999998</v>
      </c>
      <c r="F85" s="74">
        <f>G85</f>
        <v>10922.191999999999</v>
      </c>
      <c r="G85" s="74">
        <f>SUM(K85,M85,O85,Q85,S85,U85,W85,Y85,AA85,AC85,AE85,AG85)</f>
        <v>10922.191999999999</v>
      </c>
      <c r="H85" s="74">
        <f t="shared" si="128"/>
        <v>90.663921838813309</v>
      </c>
      <c r="I85" s="74">
        <f t="shared" si="129"/>
        <v>94.516151922394627</v>
      </c>
      <c r="J85" s="67">
        <v>902.625</v>
      </c>
      <c r="K85" s="67">
        <v>837.72</v>
      </c>
      <c r="L85" s="67">
        <f>216.4+2869.675</f>
        <v>3086.0750000000003</v>
      </c>
      <c r="M85" s="67">
        <v>2998.502</v>
      </c>
      <c r="N85" s="67">
        <f>311+484.5</f>
        <v>795.5</v>
      </c>
      <c r="O85" s="67">
        <f>515.52+311</f>
        <v>826.52</v>
      </c>
      <c r="P85" s="67">
        <f>3894.72+484.5</f>
        <v>4379.2199999999993</v>
      </c>
      <c r="Q85" s="67">
        <v>4466.2</v>
      </c>
      <c r="R85" s="67">
        <f>580-216.4+405.28</f>
        <v>768.88</v>
      </c>
      <c r="S85" s="67">
        <v>715.48</v>
      </c>
      <c r="T85" s="67">
        <f>145-102.58+478.88</f>
        <v>521.29999999999995</v>
      </c>
      <c r="U85" s="67">
        <v>21.79</v>
      </c>
      <c r="V85" s="67">
        <v>0</v>
      </c>
      <c r="W85" s="67">
        <v>0</v>
      </c>
      <c r="X85" s="67">
        <v>0</v>
      </c>
      <c r="Y85" s="67">
        <v>0</v>
      </c>
      <c r="Z85" s="67">
        <f>1350-405.28</f>
        <v>944.72</v>
      </c>
      <c r="AA85" s="67">
        <v>1055.98</v>
      </c>
      <c r="AB85" s="67">
        <f>102.58+55</f>
        <v>157.57999999999998</v>
      </c>
      <c r="AC85" s="67">
        <v>0</v>
      </c>
      <c r="AD85" s="67">
        <v>0</v>
      </c>
      <c r="AE85" s="67">
        <v>0</v>
      </c>
      <c r="AF85" s="67">
        <f>1753.2+731+2380.4-3894.72-478.88</f>
        <v>491.00000000000057</v>
      </c>
      <c r="AG85" s="67">
        <v>0</v>
      </c>
      <c r="AH85" s="75"/>
    </row>
    <row r="86" spans="1:35" s="10" customFormat="1" ht="23.25" customHeight="1" x14ac:dyDescent="0.25">
      <c r="A86" s="569"/>
      <c r="B86" s="552" t="s">
        <v>261</v>
      </c>
      <c r="C86" s="123" t="s">
        <v>20</v>
      </c>
      <c r="D86" s="70">
        <f>D87</f>
        <v>1000</v>
      </c>
      <c r="E86" s="70">
        <f t="shared" ref="E86:G92" si="145">E87</f>
        <v>1000</v>
      </c>
      <c r="F86" s="70">
        <f t="shared" si="145"/>
        <v>634.68999999999994</v>
      </c>
      <c r="G86" s="70">
        <f t="shared" si="145"/>
        <v>634.68999999999994</v>
      </c>
      <c r="H86" s="70">
        <f t="shared" si="128"/>
        <v>63.468999999999994</v>
      </c>
      <c r="I86" s="70">
        <f t="shared" si="129"/>
        <v>63.468999999999994</v>
      </c>
      <c r="J86" s="71">
        <f t="shared" ref="J86:AG92" si="146">SUM(J87:J87)</f>
        <v>0</v>
      </c>
      <c r="K86" s="71">
        <f t="shared" si="146"/>
        <v>0</v>
      </c>
      <c r="L86" s="71">
        <f t="shared" si="146"/>
        <v>0</v>
      </c>
      <c r="M86" s="71">
        <f t="shared" si="146"/>
        <v>0</v>
      </c>
      <c r="N86" s="71">
        <f t="shared" si="146"/>
        <v>8.4</v>
      </c>
      <c r="O86" s="71">
        <f t="shared" si="146"/>
        <v>8.4</v>
      </c>
      <c r="P86" s="71">
        <f t="shared" si="146"/>
        <v>0</v>
      </c>
      <c r="Q86" s="71">
        <f t="shared" si="146"/>
        <v>0</v>
      </c>
      <c r="R86" s="71">
        <f t="shared" si="146"/>
        <v>0</v>
      </c>
      <c r="S86" s="71">
        <f t="shared" si="146"/>
        <v>0</v>
      </c>
      <c r="T86" s="71">
        <f t="shared" si="146"/>
        <v>0</v>
      </c>
      <c r="U86" s="71">
        <f t="shared" si="146"/>
        <v>0</v>
      </c>
      <c r="V86" s="71">
        <f t="shared" si="146"/>
        <v>0</v>
      </c>
      <c r="W86" s="71">
        <f t="shared" si="146"/>
        <v>0</v>
      </c>
      <c r="X86" s="71">
        <f t="shared" si="146"/>
        <v>0</v>
      </c>
      <c r="Y86" s="71">
        <f t="shared" si="146"/>
        <v>0</v>
      </c>
      <c r="Z86" s="71">
        <f t="shared" si="146"/>
        <v>0</v>
      </c>
      <c r="AA86" s="71">
        <f t="shared" si="146"/>
        <v>0</v>
      </c>
      <c r="AB86" s="71">
        <f t="shared" si="146"/>
        <v>991.6</v>
      </c>
      <c r="AC86" s="71">
        <f t="shared" si="146"/>
        <v>626.29</v>
      </c>
      <c r="AD86" s="71">
        <f t="shared" si="146"/>
        <v>0</v>
      </c>
      <c r="AE86" s="71">
        <f t="shared" si="146"/>
        <v>0</v>
      </c>
      <c r="AF86" s="71">
        <f t="shared" si="146"/>
        <v>0</v>
      </c>
      <c r="AG86" s="71">
        <f t="shared" si="146"/>
        <v>0</v>
      </c>
      <c r="AH86" s="72"/>
    </row>
    <row r="87" spans="1:35" s="10" customFormat="1" ht="67.5" customHeight="1" x14ac:dyDescent="0.25">
      <c r="A87" s="570"/>
      <c r="B87" s="552"/>
      <c r="C87" s="124" t="s">
        <v>21</v>
      </c>
      <c r="D87" s="74">
        <f>SUM(J87,L87,N87,P87,R87,T87,V87,X87,Z87,AB87,AD87,AF87)</f>
        <v>1000</v>
      </c>
      <c r="E87" s="74">
        <f>J87+L87+N87+P87+R87+T87+V87+X87+Z87+AB87</f>
        <v>1000</v>
      </c>
      <c r="F87" s="74">
        <f>G87</f>
        <v>634.68999999999994</v>
      </c>
      <c r="G87" s="74">
        <f>SUM(K87,M87,O87,Q87,S87,U87,W87,Y87,AA87,AC87,AE87,AG87)</f>
        <v>634.68999999999994</v>
      </c>
      <c r="H87" s="74">
        <f t="shared" si="128"/>
        <v>63.468999999999994</v>
      </c>
      <c r="I87" s="74">
        <f t="shared" si="129"/>
        <v>63.468999999999994</v>
      </c>
      <c r="J87" s="67">
        <v>0</v>
      </c>
      <c r="K87" s="67">
        <v>0</v>
      </c>
      <c r="L87" s="67">
        <v>0</v>
      </c>
      <c r="M87" s="67">
        <v>0</v>
      </c>
      <c r="N87" s="67">
        <v>8.4</v>
      </c>
      <c r="O87" s="67">
        <v>8.4</v>
      </c>
      <c r="P87" s="67">
        <v>0</v>
      </c>
      <c r="Q87" s="67">
        <v>0</v>
      </c>
      <c r="R87" s="67">
        <v>0</v>
      </c>
      <c r="S87" s="67">
        <v>0</v>
      </c>
      <c r="T87" s="67">
        <v>0</v>
      </c>
      <c r="U87" s="67">
        <v>0</v>
      </c>
      <c r="V87" s="67">
        <v>0</v>
      </c>
      <c r="W87" s="67">
        <v>0</v>
      </c>
      <c r="X87" s="67">
        <v>0</v>
      </c>
      <c r="Y87" s="67">
        <v>0</v>
      </c>
      <c r="Z87" s="67">
        <v>0</v>
      </c>
      <c r="AA87" s="67">
        <v>0</v>
      </c>
      <c r="AB87" s="67">
        <f>1000-8.4</f>
        <v>991.6</v>
      </c>
      <c r="AC87" s="67">
        <v>626.29</v>
      </c>
      <c r="AD87" s="67">
        <v>0</v>
      </c>
      <c r="AE87" s="67">
        <v>0</v>
      </c>
      <c r="AF87" s="67">
        <v>0</v>
      </c>
      <c r="AG87" s="67">
        <v>0</v>
      </c>
      <c r="AH87" s="75"/>
    </row>
    <row r="88" spans="1:35" s="10" customFormat="1" ht="23.25" customHeight="1" x14ac:dyDescent="0.25">
      <c r="A88" s="569"/>
      <c r="B88" s="552" t="s">
        <v>262</v>
      </c>
      <c r="C88" s="123" t="s">
        <v>20</v>
      </c>
      <c r="D88" s="70">
        <f>D89</f>
        <v>6407.2979999999989</v>
      </c>
      <c r="E88" s="70">
        <f t="shared" si="145"/>
        <v>4575.5969999999998</v>
      </c>
      <c r="F88" s="70">
        <f t="shared" si="145"/>
        <v>4575.6000000000004</v>
      </c>
      <c r="G88" s="70">
        <f t="shared" si="145"/>
        <v>4575.6000000000004</v>
      </c>
      <c r="H88" s="70">
        <f t="shared" si="128"/>
        <v>71.412317641539403</v>
      </c>
      <c r="I88" s="70">
        <f t="shared" si="129"/>
        <v>100.0000655652148</v>
      </c>
      <c r="J88" s="71">
        <f t="shared" si="146"/>
        <v>507.31400000000002</v>
      </c>
      <c r="K88" s="71">
        <f t="shared" si="146"/>
        <v>507.31</v>
      </c>
      <c r="L88" s="71">
        <f t="shared" si="146"/>
        <v>501.56599999999997</v>
      </c>
      <c r="M88" s="71">
        <f t="shared" si="146"/>
        <v>0</v>
      </c>
      <c r="N88" s="71">
        <f t="shared" si="146"/>
        <v>1313.865</v>
      </c>
      <c r="O88" s="71">
        <f t="shared" si="146"/>
        <v>1815.43</v>
      </c>
      <c r="P88" s="71">
        <f t="shared" si="146"/>
        <v>500.54399999999998</v>
      </c>
      <c r="Q88" s="71">
        <f t="shared" si="146"/>
        <v>500.54</v>
      </c>
      <c r="R88" s="71">
        <f t="shared" si="146"/>
        <v>790.45699999999999</v>
      </c>
      <c r="S88" s="71">
        <f t="shared" si="146"/>
        <v>790.46</v>
      </c>
      <c r="T88" s="71">
        <f t="shared" si="146"/>
        <v>961.851</v>
      </c>
      <c r="U88" s="71">
        <f t="shared" si="146"/>
        <v>961.86</v>
      </c>
      <c r="V88" s="71">
        <f t="shared" si="146"/>
        <v>180.77099999999999</v>
      </c>
      <c r="W88" s="71">
        <f t="shared" si="146"/>
        <v>0</v>
      </c>
      <c r="X88" s="71">
        <f t="shared" si="146"/>
        <v>182.27199999999999</v>
      </c>
      <c r="Y88" s="71">
        <f t="shared" si="146"/>
        <v>0</v>
      </c>
      <c r="Z88" s="71">
        <f t="shared" si="146"/>
        <v>336.62</v>
      </c>
      <c r="AA88" s="71">
        <f t="shared" si="146"/>
        <v>0</v>
      </c>
      <c r="AB88" s="71">
        <f t="shared" si="146"/>
        <v>351.75700000000001</v>
      </c>
      <c r="AC88" s="71">
        <f t="shared" si="146"/>
        <v>0</v>
      </c>
      <c r="AD88" s="71">
        <f t="shared" si="146"/>
        <v>395.803</v>
      </c>
      <c r="AE88" s="71">
        <f t="shared" si="146"/>
        <v>0</v>
      </c>
      <c r="AF88" s="71">
        <f t="shared" si="146"/>
        <v>384.47800000000001</v>
      </c>
      <c r="AG88" s="71">
        <f t="shared" si="146"/>
        <v>0</v>
      </c>
      <c r="AH88" s="72"/>
    </row>
    <row r="89" spans="1:35" s="10" customFormat="1" ht="48.75" customHeight="1" x14ac:dyDescent="0.25">
      <c r="A89" s="570"/>
      <c r="B89" s="552"/>
      <c r="C89" s="124" t="s">
        <v>21</v>
      </c>
      <c r="D89" s="74">
        <f>SUM(J89,L89,N89,P89,R89,T89,V89,X89,Z89,AB89,AD89,AF89)</f>
        <v>6407.2979999999989</v>
      </c>
      <c r="E89" s="74">
        <f>J89+L89+N89+P89+R89+T89</f>
        <v>4575.5969999999998</v>
      </c>
      <c r="F89" s="74">
        <f>G89</f>
        <v>4575.6000000000004</v>
      </c>
      <c r="G89" s="74">
        <f>SUM(K89,M89,O89,Q89,S89,U89,W89,Y89,AA89,AC89,AE89,AG89)</f>
        <v>4575.6000000000004</v>
      </c>
      <c r="H89" s="74">
        <f t="shared" si="128"/>
        <v>71.412317641539403</v>
      </c>
      <c r="I89" s="74">
        <f t="shared" si="129"/>
        <v>100.0000655652148</v>
      </c>
      <c r="J89" s="67">
        <v>507.31400000000002</v>
      </c>
      <c r="K89" s="67">
        <v>507.31</v>
      </c>
      <c r="L89" s="67">
        <v>501.56599999999997</v>
      </c>
      <c r="M89" s="67">
        <v>0</v>
      </c>
      <c r="N89" s="67">
        <f>812.3+501.565</f>
        <v>1313.865</v>
      </c>
      <c r="O89" s="67">
        <v>1815.43</v>
      </c>
      <c r="P89" s="67">
        <v>500.54399999999998</v>
      </c>
      <c r="Q89" s="67">
        <v>500.54</v>
      </c>
      <c r="R89" s="67">
        <v>790.45699999999999</v>
      </c>
      <c r="S89" s="67">
        <v>790.46</v>
      </c>
      <c r="T89" s="67">
        <f>75.46+886.391</f>
        <v>961.851</v>
      </c>
      <c r="U89" s="67">
        <v>961.86</v>
      </c>
      <c r="V89" s="67">
        <v>180.77099999999999</v>
      </c>
      <c r="W89" s="67">
        <v>0</v>
      </c>
      <c r="X89" s="67">
        <v>182.27199999999999</v>
      </c>
      <c r="Y89" s="67">
        <v>0</v>
      </c>
      <c r="Z89" s="67">
        <v>336.62</v>
      </c>
      <c r="AA89" s="67">
        <v>0</v>
      </c>
      <c r="AB89" s="67">
        <f>427.217-75.46</f>
        <v>351.75700000000001</v>
      </c>
      <c r="AC89" s="67">
        <v>0</v>
      </c>
      <c r="AD89" s="67">
        <v>395.803</v>
      </c>
      <c r="AE89" s="67">
        <v>0</v>
      </c>
      <c r="AF89" s="67">
        <v>384.47800000000001</v>
      </c>
      <c r="AG89" s="67">
        <v>0</v>
      </c>
      <c r="AH89" s="75"/>
    </row>
    <row r="90" spans="1:35" s="10" customFormat="1" ht="23.25" customHeight="1" x14ac:dyDescent="0.25">
      <c r="A90" s="569"/>
      <c r="B90" s="552" t="s">
        <v>263</v>
      </c>
      <c r="C90" s="123" t="s">
        <v>20</v>
      </c>
      <c r="D90" s="70">
        <f>D91</f>
        <v>56087.298999999999</v>
      </c>
      <c r="E90" s="70">
        <f t="shared" si="145"/>
        <v>31499.999</v>
      </c>
      <c r="F90" s="70">
        <f t="shared" si="145"/>
        <v>26344.962999999996</v>
      </c>
      <c r="G90" s="70">
        <f t="shared" si="145"/>
        <v>26344.962999999996</v>
      </c>
      <c r="H90" s="70">
        <f t="shared" si="128"/>
        <v>46.971352640818012</v>
      </c>
      <c r="I90" s="70">
        <f t="shared" si="129"/>
        <v>83.634805829676367</v>
      </c>
      <c r="J90" s="71">
        <f t="shared" si="146"/>
        <v>4918.777</v>
      </c>
      <c r="K90" s="71">
        <f t="shared" si="146"/>
        <v>1264.77</v>
      </c>
      <c r="L90" s="71">
        <f t="shared" si="146"/>
        <v>5887.23</v>
      </c>
      <c r="M90" s="71">
        <f t="shared" si="146"/>
        <v>4835.0029999999997</v>
      </c>
      <c r="N90" s="71">
        <f t="shared" si="146"/>
        <v>5601.8819999999996</v>
      </c>
      <c r="O90" s="71">
        <f t="shared" si="146"/>
        <v>5362.5</v>
      </c>
      <c r="P90" s="71">
        <f t="shared" si="146"/>
        <v>5558.4790000000003</v>
      </c>
      <c r="Q90" s="71">
        <f t="shared" si="146"/>
        <v>5607.97</v>
      </c>
      <c r="R90" s="71">
        <f t="shared" si="146"/>
        <v>5533.6310000000003</v>
      </c>
      <c r="S90" s="71">
        <f t="shared" si="146"/>
        <v>5365.26</v>
      </c>
      <c r="T90" s="71">
        <f t="shared" si="146"/>
        <v>4000</v>
      </c>
      <c r="U90" s="71">
        <f t="shared" si="146"/>
        <v>3909.46</v>
      </c>
      <c r="V90" s="71">
        <f t="shared" si="146"/>
        <v>0</v>
      </c>
      <c r="W90" s="71">
        <f t="shared" si="146"/>
        <v>0</v>
      </c>
      <c r="X90" s="71">
        <f t="shared" si="146"/>
        <v>0</v>
      </c>
      <c r="Y90" s="71">
        <f t="shared" si="146"/>
        <v>0</v>
      </c>
      <c r="Z90" s="71">
        <f t="shared" si="146"/>
        <v>0</v>
      </c>
      <c r="AA90" s="71">
        <f t="shared" si="146"/>
        <v>0</v>
      </c>
      <c r="AB90" s="71">
        <f t="shared" si="146"/>
        <v>10300</v>
      </c>
      <c r="AC90" s="71">
        <f t="shared" si="146"/>
        <v>0</v>
      </c>
      <c r="AD90" s="71">
        <f t="shared" si="146"/>
        <v>5000</v>
      </c>
      <c r="AE90" s="71">
        <f t="shared" si="146"/>
        <v>0</v>
      </c>
      <c r="AF90" s="71">
        <f t="shared" si="146"/>
        <v>9287.2999999999993</v>
      </c>
      <c r="AG90" s="71">
        <f t="shared" si="146"/>
        <v>0</v>
      </c>
      <c r="AH90" s="72"/>
    </row>
    <row r="91" spans="1:35" s="10" customFormat="1" ht="41.25" customHeight="1" x14ac:dyDescent="0.25">
      <c r="A91" s="570"/>
      <c r="B91" s="552"/>
      <c r="C91" s="124" t="s">
        <v>21</v>
      </c>
      <c r="D91" s="74">
        <f>SUM(J91,L91,N91,P91,R91,T91,V91,X91,Z91,AB91,AD91,AF91)</f>
        <v>56087.298999999999</v>
      </c>
      <c r="E91" s="74">
        <f>J91+L91+N91+P91+R91+T91</f>
        <v>31499.999</v>
      </c>
      <c r="F91" s="74">
        <f>G91</f>
        <v>26344.962999999996</v>
      </c>
      <c r="G91" s="74">
        <f>SUM(K91,M91,O91,Q91,S91,U91,W91,Y91,AA91,AC91,AE91,AG91)</f>
        <v>26344.962999999996</v>
      </c>
      <c r="H91" s="74">
        <f t="shared" si="128"/>
        <v>46.971352640818012</v>
      </c>
      <c r="I91" s="74">
        <f t="shared" si="129"/>
        <v>83.634805829676367</v>
      </c>
      <c r="J91" s="67">
        <v>4918.777</v>
      </c>
      <c r="K91" s="67">
        <v>1264.77</v>
      </c>
      <c r="L91" s="67">
        <v>5887.23</v>
      </c>
      <c r="M91" s="67">
        <v>4835.0029999999997</v>
      </c>
      <c r="N91" s="67">
        <v>5601.8819999999996</v>
      </c>
      <c r="O91" s="67">
        <v>5362.5</v>
      </c>
      <c r="P91" s="67">
        <v>5558.4790000000003</v>
      </c>
      <c r="Q91" s="67">
        <v>5607.97</v>
      </c>
      <c r="R91" s="67">
        <v>5533.6310000000003</v>
      </c>
      <c r="S91" s="67">
        <v>5365.26</v>
      </c>
      <c r="T91" s="67">
        <v>4000</v>
      </c>
      <c r="U91" s="67">
        <v>3909.46</v>
      </c>
      <c r="V91" s="67">
        <v>0</v>
      </c>
      <c r="W91" s="67">
        <v>0</v>
      </c>
      <c r="X91" s="67">
        <v>0</v>
      </c>
      <c r="Y91" s="67">
        <v>0</v>
      </c>
      <c r="Z91" s="67">
        <v>0</v>
      </c>
      <c r="AA91" s="67">
        <v>0</v>
      </c>
      <c r="AB91" s="67">
        <v>10300</v>
      </c>
      <c r="AC91" s="67">
        <v>0</v>
      </c>
      <c r="AD91" s="67">
        <v>5000</v>
      </c>
      <c r="AE91" s="67">
        <v>0</v>
      </c>
      <c r="AF91" s="67">
        <v>9287.2999999999993</v>
      </c>
      <c r="AG91" s="67">
        <v>0</v>
      </c>
      <c r="AH91" s="75" t="s">
        <v>355</v>
      </c>
    </row>
    <row r="92" spans="1:35" s="10" customFormat="1" ht="23.25" customHeight="1" x14ac:dyDescent="0.25">
      <c r="A92" s="569"/>
      <c r="B92" s="552" t="s">
        <v>264</v>
      </c>
      <c r="C92" s="123" t="s">
        <v>20</v>
      </c>
      <c r="D92" s="70">
        <f>D93</f>
        <v>7859.3</v>
      </c>
      <c r="E92" s="70">
        <f t="shared" si="145"/>
        <v>7859.3</v>
      </c>
      <c r="F92" s="70">
        <f t="shared" si="145"/>
        <v>7859.3</v>
      </c>
      <c r="G92" s="70">
        <f t="shared" si="145"/>
        <v>7859.3</v>
      </c>
      <c r="H92" s="70">
        <f t="shared" si="128"/>
        <v>100</v>
      </c>
      <c r="I92" s="70">
        <f t="shared" si="129"/>
        <v>100</v>
      </c>
      <c r="J92" s="71">
        <f t="shared" si="146"/>
        <v>7859.3</v>
      </c>
      <c r="K92" s="71">
        <f t="shared" si="146"/>
        <v>7859.3</v>
      </c>
      <c r="L92" s="71">
        <f t="shared" si="146"/>
        <v>0</v>
      </c>
      <c r="M92" s="71">
        <f t="shared" si="146"/>
        <v>0</v>
      </c>
      <c r="N92" s="71">
        <f t="shared" si="146"/>
        <v>0</v>
      </c>
      <c r="O92" s="71">
        <f t="shared" si="146"/>
        <v>0</v>
      </c>
      <c r="P92" s="71">
        <f t="shared" si="146"/>
        <v>0</v>
      </c>
      <c r="Q92" s="71">
        <f t="shared" si="146"/>
        <v>0</v>
      </c>
      <c r="R92" s="71">
        <f t="shared" si="146"/>
        <v>0</v>
      </c>
      <c r="S92" s="71">
        <f t="shared" si="146"/>
        <v>0</v>
      </c>
      <c r="T92" s="71">
        <f t="shared" si="146"/>
        <v>0</v>
      </c>
      <c r="U92" s="71">
        <f t="shared" si="146"/>
        <v>0</v>
      </c>
      <c r="V92" s="71">
        <f t="shared" si="146"/>
        <v>0</v>
      </c>
      <c r="W92" s="71">
        <f t="shared" si="146"/>
        <v>0</v>
      </c>
      <c r="X92" s="71">
        <f t="shared" si="146"/>
        <v>0</v>
      </c>
      <c r="Y92" s="71">
        <f t="shared" si="146"/>
        <v>0</v>
      </c>
      <c r="Z92" s="71">
        <f t="shared" si="146"/>
        <v>0</v>
      </c>
      <c r="AA92" s="71">
        <f t="shared" si="146"/>
        <v>0</v>
      </c>
      <c r="AB92" s="71">
        <f t="shared" si="146"/>
        <v>0</v>
      </c>
      <c r="AC92" s="71">
        <f t="shared" si="146"/>
        <v>0</v>
      </c>
      <c r="AD92" s="71">
        <f t="shared" si="146"/>
        <v>0</v>
      </c>
      <c r="AE92" s="71">
        <f t="shared" si="146"/>
        <v>0</v>
      </c>
      <c r="AF92" s="71">
        <f t="shared" si="146"/>
        <v>0</v>
      </c>
      <c r="AG92" s="71">
        <f t="shared" si="146"/>
        <v>0</v>
      </c>
      <c r="AH92" s="72"/>
    </row>
    <row r="93" spans="1:35" s="10" customFormat="1" ht="41.25" customHeight="1" x14ac:dyDescent="0.25">
      <c r="A93" s="570"/>
      <c r="B93" s="552"/>
      <c r="C93" s="124" t="s">
        <v>21</v>
      </c>
      <c r="D93" s="74">
        <f>SUM(J93,L93,N93,P93,R93,T93,V93,X93,Z93,AB93,AD93,AF93)</f>
        <v>7859.3</v>
      </c>
      <c r="E93" s="74">
        <f>J93</f>
        <v>7859.3</v>
      </c>
      <c r="F93" s="74">
        <f>G93</f>
        <v>7859.3</v>
      </c>
      <c r="G93" s="74">
        <f>SUM(K93,M93,O93,Q93,S93,U93,W93,Y93,AA93,AC93,AE93,AG93)</f>
        <v>7859.3</v>
      </c>
      <c r="H93" s="74">
        <f t="shared" si="128"/>
        <v>100</v>
      </c>
      <c r="I93" s="74">
        <f t="shared" si="129"/>
        <v>100</v>
      </c>
      <c r="J93" s="67">
        <v>7859.3</v>
      </c>
      <c r="K93" s="67">
        <v>7859.3</v>
      </c>
      <c r="L93" s="67">
        <v>0</v>
      </c>
      <c r="M93" s="67">
        <v>0</v>
      </c>
      <c r="N93" s="67">
        <v>0</v>
      </c>
      <c r="O93" s="67">
        <v>0</v>
      </c>
      <c r="P93" s="67">
        <v>0</v>
      </c>
      <c r="Q93" s="67">
        <v>0</v>
      </c>
      <c r="R93" s="67">
        <v>0</v>
      </c>
      <c r="S93" s="67">
        <v>0</v>
      </c>
      <c r="T93" s="67">
        <v>0</v>
      </c>
      <c r="U93" s="67">
        <v>0</v>
      </c>
      <c r="V93" s="67">
        <v>0</v>
      </c>
      <c r="W93" s="67">
        <v>0</v>
      </c>
      <c r="X93" s="67">
        <v>0</v>
      </c>
      <c r="Y93" s="67">
        <v>0</v>
      </c>
      <c r="Z93" s="67">
        <v>0</v>
      </c>
      <c r="AA93" s="67">
        <v>0</v>
      </c>
      <c r="AB93" s="67">
        <v>0</v>
      </c>
      <c r="AC93" s="67">
        <v>0</v>
      </c>
      <c r="AD93" s="67">
        <v>0</v>
      </c>
      <c r="AE93" s="67">
        <v>0</v>
      </c>
      <c r="AF93" s="67">
        <v>0</v>
      </c>
      <c r="AG93" s="67">
        <v>0</v>
      </c>
      <c r="AH93" s="75"/>
    </row>
    <row r="94" spans="1:35" s="10" customFormat="1" ht="33" customHeight="1" x14ac:dyDescent="0.25">
      <c r="A94" s="151"/>
      <c r="B94" s="536" t="s">
        <v>32</v>
      </c>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c r="AB94" s="537"/>
      <c r="AC94" s="537"/>
      <c r="AD94" s="537"/>
      <c r="AE94" s="537"/>
      <c r="AF94" s="537"/>
      <c r="AG94" s="538"/>
      <c r="AH94" s="75"/>
    </row>
    <row r="95" spans="1:35" s="30" customFormat="1" ht="55.5" customHeight="1" x14ac:dyDescent="0.25">
      <c r="A95" s="569" t="s">
        <v>265</v>
      </c>
      <c r="B95" s="578" t="s">
        <v>266</v>
      </c>
      <c r="C95" s="123" t="s">
        <v>20</v>
      </c>
      <c r="D95" s="70">
        <f>D96</f>
        <v>71939.016000000003</v>
      </c>
      <c r="E95" s="70">
        <f t="shared" ref="E95:G95" si="147">E96</f>
        <v>19252.902999999998</v>
      </c>
      <c r="F95" s="70">
        <f t="shared" si="147"/>
        <v>19221.823</v>
      </c>
      <c r="G95" s="70">
        <f t="shared" si="147"/>
        <v>19221.823</v>
      </c>
      <c r="H95" s="70">
        <f t="shared" ref="H95:H100" si="148">IFERROR(G95/D95*100,0)</f>
        <v>26.719607896777458</v>
      </c>
      <c r="I95" s="70">
        <f t="shared" ref="I95:I100" si="149">IFERROR(G95/E95*100,0)</f>
        <v>99.838569799058362</v>
      </c>
      <c r="J95" s="71">
        <f t="shared" ref="J95:AG95" si="150">SUM(J96:J96)</f>
        <v>2080.7109999999998</v>
      </c>
      <c r="K95" s="71">
        <f t="shared" si="150"/>
        <v>2080.71</v>
      </c>
      <c r="L95" s="71">
        <f t="shared" si="150"/>
        <v>2341.0619999999999</v>
      </c>
      <c r="M95" s="71">
        <f t="shared" si="150"/>
        <v>2341.0630000000001</v>
      </c>
      <c r="N95" s="71">
        <f t="shared" si="150"/>
        <v>3158.08</v>
      </c>
      <c r="O95" s="71">
        <f t="shared" si="150"/>
        <v>3158.08</v>
      </c>
      <c r="P95" s="71">
        <f t="shared" si="150"/>
        <v>500</v>
      </c>
      <c r="Q95" s="71">
        <f t="shared" si="150"/>
        <v>0</v>
      </c>
      <c r="R95" s="71">
        <f t="shared" si="150"/>
        <v>1920.25</v>
      </c>
      <c r="S95" s="71">
        <f t="shared" si="150"/>
        <v>2389.17</v>
      </c>
      <c r="T95" s="71">
        <f t="shared" si="150"/>
        <v>9252.7999999999993</v>
      </c>
      <c r="U95" s="71">
        <f t="shared" si="150"/>
        <v>9252.7999999999993</v>
      </c>
      <c r="V95" s="71">
        <f t="shared" si="150"/>
        <v>0</v>
      </c>
      <c r="W95" s="71">
        <f t="shared" si="150"/>
        <v>0</v>
      </c>
      <c r="X95" s="71">
        <f t="shared" si="150"/>
        <v>48996.854999999996</v>
      </c>
      <c r="Y95" s="71">
        <f t="shared" si="150"/>
        <v>0</v>
      </c>
      <c r="Z95" s="71">
        <f t="shared" si="150"/>
        <v>0</v>
      </c>
      <c r="AA95" s="71">
        <f t="shared" si="150"/>
        <v>0</v>
      </c>
      <c r="AB95" s="71">
        <f t="shared" si="150"/>
        <v>0</v>
      </c>
      <c r="AC95" s="71">
        <f t="shared" si="150"/>
        <v>0</v>
      </c>
      <c r="AD95" s="71">
        <f t="shared" si="150"/>
        <v>0</v>
      </c>
      <c r="AE95" s="71">
        <f t="shared" si="150"/>
        <v>0</v>
      </c>
      <c r="AF95" s="71">
        <f t="shared" si="150"/>
        <v>3689.2579999999998</v>
      </c>
      <c r="AG95" s="71">
        <f t="shared" si="150"/>
        <v>0</v>
      </c>
      <c r="AH95" s="72"/>
      <c r="AI95" s="29"/>
    </row>
    <row r="96" spans="1:35" s="31" customFormat="1" ht="78.75" customHeight="1" x14ac:dyDescent="0.25">
      <c r="A96" s="570"/>
      <c r="B96" s="579"/>
      <c r="C96" s="124" t="s">
        <v>21</v>
      </c>
      <c r="D96" s="74">
        <f>SUM(J96,L96,N96,P96,R96,T96,V96,X96,Z96,AB96,AD96,AF96)</f>
        <v>71939.016000000003</v>
      </c>
      <c r="E96" s="74">
        <f>J96+L96+N96+P96+R96+T96</f>
        <v>19252.902999999998</v>
      </c>
      <c r="F96" s="74">
        <f>G96</f>
        <v>19221.823</v>
      </c>
      <c r="G96" s="74">
        <f>SUM(K96,M96,O96,Q96,S96,U96,W96,Y96,AA96,AC96,AE96,AG96)</f>
        <v>19221.823</v>
      </c>
      <c r="H96" s="74">
        <f t="shared" si="148"/>
        <v>26.719607896777458</v>
      </c>
      <c r="I96" s="74">
        <f>IFERROR(G96/E96*100,0)</f>
        <v>99.838569799058362</v>
      </c>
      <c r="J96" s="67">
        <f>J98+J100</f>
        <v>2080.7109999999998</v>
      </c>
      <c r="K96" s="67">
        <f t="shared" ref="K96:AG96" si="151">K98+K100</f>
        <v>2080.71</v>
      </c>
      <c r="L96" s="67">
        <f t="shared" si="151"/>
        <v>2341.0619999999999</v>
      </c>
      <c r="M96" s="67">
        <f t="shared" si="151"/>
        <v>2341.0630000000001</v>
      </c>
      <c r="N96" s="67">
        <f t="shared" si="151"/>
        <v>3158.08</v>
      </c>
      <c r="O96" s="67">
        <f t="shared" si="151"/>
        <v>3158.08</v>
      </c>
      <c r="P96" s="67">
        <f t="shared" si="151"/>
        <v>500</v>
      </c>
      <c r="Q96" s="67">
        <f t="shared" si="151"/>
        <v>0</v>
      </c>
      <c r="R96" s="67">
        <f t="shared" si="151"/>
        <v>1920.25</v>
      </c>
      <c r="S96" s="67">
        <f t="shared" si="151"/>
        <v>2389.17</v>
      </c>
      <c r="T96" s="67">
        <f>T98+T100</f>
        <v>9252.7999999999993</v>
      </c>
      <c r="U96" s="67">
        <f t="shared" si="151"/>
        <v>9252.7999999999993</v>
      </c>
      <c r="V96" s="67">
        <f t="shared" si="151"/>
        <v>0</v>
      </c>
      <c r="W96" s="67">
        <f t="shared" si="151"/>
        <v>0</v>
      </c>
      <c r="X96" s="67">
        <f t="shared" si="151"/>
        <v>48996.854999999996</v>
      </c>
      <c r="Y96" s="67">
        <f t="shared" si="151"/>
        <v>0</v>
      </c>
      <c r="Z96" s="67">
        <f t="shared" si="151"/>
        <v>0</v>
      </c>
      <c r="AA96" s="67">
        <f t="shared" si="151"/>
        <v>0</v>
      </c>
      <c r="AB96" s="67">
        <f t="shared" si="151"/>
        <v>0</v>
      </c>
      <c r="AC96" s="67">
        <f t="shared" si="151"/>
        <v>0</v>
      </c>
      <c r="AD96" s="67">
        <f t="shared" si="151"/>
        <v>0</v>
      </c>
      <c r="AE96" s="67">
        <f t="shared" si="151"/>
        <v>0</v>
      </c>
      <c r="AF96" s="67">
        <f t="shared" si="151"/>
        <v>3689.2579999999998</v>
      </c>
      <c r="AG96" s="67">
        <f t="shared" si="151"/>
        <v>0</v>
      </c>
      <c r="AH96" s="75"/>
      <c r="AI96" s="29"/>
    </row>
    <row r="97" spans="1:35" s="10" customFormat="1" ht="60" customHeight="1" x14ac:dyDescent="0.25">
      <c r="A97" s="569"/>
      <c r="B97" s="575" t="s">
        <v>267</v>
      </c>
      <c r="C97" s="123" t="s">
        <v>20</v>
      </c>
      <c r="D97" s="70">
        <f>D98</f>
        <v>62555.202999999994</v>
      </c>
      <c r="E97" s="70">
        <f t="shared" ref="E97:G97" si="152">E98</f>
        <v>19252.902999999998</v>
      </c>
      <c r="F97" s="70">
        <f t="shared" si="152"/>
        <v>19221.823</v>
      </c>
      <c r="G97" s="70">
        <f t="shared" si="152"/>
        <v>19221.823</v>
      </c>
      <c r="H97" s="70">
        <f t="shared" si="148"/>
        <v>30.727776552815282</v>
      </c>
      <c r="I97" s="70">
        <f t="shared" si="149"/>
        <v>99.838569799058362</v>
      </c>
      <c r="J97" s="71">
        <f t="shared" ref="J97:AG97" si="153">SUM(J98:J98)</f>
        <v>2080.7109999999998</v>
      </c>
      <c r="K97" s="71">
        <f t="shared" si="153"/>
        <v>2080.71</v>
      </c>
      <c r="L97" s="71">
        <f t="shared" si="153"/>
        <v>2341.0619999999999</v>
      </c>
      <c r="M97" s="71">
        <f t="shared" si="153"/>
        <v>2341.0630000000001</v>
      </c>
      <c r="N97" s="71">
        <f t="shared" si="153"/>
        <v>3158.08</v>
      </c>
      <c r="O97" s="71">
        <f t="shared" si="153"/>
        <v>3158.08</v>
      </c>
      <c r="P97" s="71">
        <f t="shared" si="153"/>
        <v>500</v>
      </c>
      <c r="Q97" s="71">
        <f t="shared" si="153"/>
        <v>0</v>
      </c>
      <c r="R97" s="71">
        <f t="shared" si="153"/>
        <v>1920.25</v>
      </c>
      <c r="S97" s="71">
        <f t="shared" si="153"/>
        <v>2389.17</v>
      </c>
      <c r="T97" s="71">
        <f t="shared" si="153"/>
        <v>9252.7999999999993</v>
      </c>
      <c r="U97" s="71">
        <f t="shared" si="153"/>
        <v>9252.7999999999993</v>
      </c>
      <c r="V97" s="71">
        <f t="shared" si="153"/>
        <v>0</v>
      </c>
      <c r="W97" s="71">
        <f t="shared" si="153"/>
        <v>0</v>
      </c>
      <c r="X97" s="71">
        <f t="shared" si="153"/>
        <v>43302.299999999996</v>
      </c>
      <c r="Y97" s="71">
        <f t="shared" si="153"/>
        <v>0</v>
      </c>
      <c r="Z97" s="71">
        <f t="shared" si="153"/>
        <v>0</v>
      </c>
      <c r="AA97" s="71">
        <f t="shared" si="153"/>
        <v>0</v>
      </c>
      <c r="AB97" s="71">
        <f t="shared" si="153"/>
        <v>0</v>
      </c>
      <c r="AC97" s="71">
        <f t="shared" si="153"/>
        <v>0</v>
      </c>
      <c r="AD97" s="71">
        <f t="shared" si="153"/>
        <v>0</v>
      </c>
      <c r="AE97" s="71">
        <f t="shared" si="153"/>
        <v>0</v>
      </c>
      <c r="AF97" s="71">
        <f t="shared" si="153"/>
        <v>0</v>
      </c>
      <c r="AG97" s="71">
        <f t="shared" si="153"/>
        <v>0</v>
      </c>
      <c r="AH97" s="72"/>
    </row>
    <row r="98" spans="1:35" s="10" customFormat="1" ht="48" customHeight="1" x14ac:dyDescent="0.25">
      <c r="A98" s="570"/>
      <c r="B98" s="576"/>
      <c r="C98" s="124" t="s">
        <v>21</v>
      </c>
      <c r="D98" s="74">
        <f>SUM(J98,L98,N98,P98,R98,T98,V98,X98,Z98,AB98,AD98,AF98)</f>
        <v>62555.202999999994</v>
      </c>
      <c r="E98" s="74">
        <f>J98+L98+N98+P98+R98+T98</f>
        <v>19252.902999999998</v>
      </c>
      <c r="F98" s="74">
        <f>G98</f>
        <v>19221.823</v>
      </c>
      <c r="G98" s="74">
        <f>SUM(K98,M98,O98,Q98,S98,U98,W98,Y98,AA98,AC98,AE98,AG98)</f>
        <v>19221.823</v>
      </c>
      <c r="H98" s="74">
        <f t="shared" si="148"/>
        <v>30.727776552815282</v>
      </c>
      <c r="I98" s="74">
        <f t="shared" si="149"/>
        <v>99.838569799058362</v>
      </c>
      <c r="J98" s="67">
        <v>2080.7109999999998</v>
      </c>
      <c r="K98" s="67">
        <v>2080.71</v>
      </c>
      <c r="L98" s="67">
        <f>1435.773+905.289</f>
        <v>2341.0619999999999</v>
      </c>
      <c r="M98" s="67">
        <v>2341.0630000000001</v>
      </c>
      <c r="N98" s="67">
        <v>3158.08</v>
      </c>
      <c r="O98" s="67">
        <v>3158.08</v>
      </c>
      <c r="P98" s="67">
        <v>500</v>
      </c>
      <c r="Q98" s="67">
        <v>0</v>
      </c>
      <c r="R98" s="67">
        <v>1920.25</v>
      </c>
      <c r="S98" s="67">
        <v>2389.17</v>
      </c>
      <c r="T98" s="67">
        <f>7955.08+1297.72</f>
        <v>9252.7999999999993</v>
      </c>
      <c r="U98" s="67">
        <v>9252.7999999999993</v>
      </c>
      <c r="V98" s="67">
        <v>0</v>
      </c>
      <c r="W98" s="67">
        <v>0</v>
      </c>
      <c r="X98" s="67">
        <f>12421.63+44756-4000-1920.25-7955.08</f>
        <v>43302.299999999996</v>
      </c>
      <c r="Y98" s="67">
        <v>0</v>
      </c>
      <c r="Z98" s="67">
        <v>0</v>
      </c>
      <c r="AA98" s="67">
        <v>0</v>
      </c>
      <c r="AB98" s="67">
        <v>0</v>
      </c>
      <c r="AC98" s="67">
        <v>0</v>
      </c>
      <c r="AD98" s="67">
        <v>0</v>
      </c>
      <c r="AE98" s="67">
        <v>0</v>
      </c>
      <c r="AF98" s="67">
        <v>0</v>
      </c>
      <c r="AG98" s="67">
        <v>0</v>
      </c>
      <c r="AH98" s="75" t="s">
        <v>353</v>
      </c>
    </row>
    <row r="99" spans="1:35" s="10" customFormat="1" ht="23.25" customHeight="1" x14ac:dyDescent="0.25">
      <c r="A99" s="569"/>
      <c r="B99" s="552" t="s">
        <v>352</v>
      </c>
      <c r="C99" s="123" t="s">
        <v>20</v>
      </c>
      <c r="D99" s="70">
        <f>D100</f>
        <v>9383.8130000000001</v>
      </c>
      <c r="E99" s="70">
        <f t="shared" ref="E99:G99" si="154">E100</f>
        <v>0</v>
      </c>
      <c r="F99" s="70">
        <f t="shared" si="154"/>
        <v>0</v>
      </c>
      <c r="G99" s="70">
        <f t="shared" si="154"/>
        <v>0</v>
      </c>
      <c r="H99" s="70">
        <f t="shared" si="148"/>
        <v>0</v>
      </c>
      <c r="I99" s="70">
        <f t="shared" si="149"/>
        <v>0</v>
      </c>
      <c r="J99" s="71">
        <f t="shared" ref="J99:AG99" si="155">SUM(J100:J100)</f>
        <v>0</v>
      </c>
      <c r="K99" s="71">
        <f t="shared" si="155"/>
        <v>0</v>
      </c>
      <c r="L99" s="71">
        <f t="shared" si="155"/>
        <v>0</v>
      </c>
      <c r="M99" s="71">
        <f t="shared" si="155"/>
        <v>0</v>
      </c>
      <c r="N99" s="71">
        <f t="shared" si="155"/>
        <v>0</v>
      </c>
      <c r="O99" s="71">
        <f t="shared" si="155"/>
        <v>0</v>
      </c>
      <c r="P99" s="71">
        <f t="shared" si="155"/>
        <v>0</v>
      </c>
      <c r="Q99" s="71">
        <f t="shared" si="155"/>
        <v>0</v>
      </c>
      <c r="R99" s="71">
        <f t="shared" si="155"/>
        <v>0</v>
      </c>
      <c r="S99" s="71">
        <f t="shared" si="155"/>
        <v>0</v>
      </c>
      <c r="T99" s="71">
        <f t="shared" si="155"/>
        <v>0</v>
      </c>
      <c r="U99" s="71">
        <f t="shared" si="155"/>
        <v>0</v>
      </c>
      <c r="V99" s="71">
        <f t="shared" si="155"/>
        <v>0</v>
      </c>
      <c r="W99" s="71">
        <f t="shared" si="155"/>
        <v>0</v>
      </c>
      <c r="X99" s="71">
        <f t="shared" si="155"/>
        <v>5694.5550000000003</v>
      </c>
      <c r="Y99" s="71">
        <f t="shared" si="155"/>
        <v>0</v>
      </c>
      <c r="Z99" s="71">
        <f t="shared" si="155"/>
        <v>0</v>
      </c>
      <c r="AA99" s="71">
        <f t="shared" si="155"/>
        <v>0</v>
      </c>
      <c r="AB99" s="71">
        <f t="shared" si="155"/>
        <v>0</v>
      </c>
      <c r="AC99" s="71">
        <f t="shared" si="155"/>
        <v>0</v>
      </c>
      <c r="AD99" s="71">
        <f t="shared" si="155"/>
        <v>0</v>
      </c>
      <c r="AE99" s="71">
        <f t="shared" si="155"/>
        <v>0</v>
      </c>
      <c r="AF99" s="71">
        <f t="shared" si="155"/>
        <v>3689.2579999999998</v>
      </c>
      <c r="AG99" s="71">
        <f t="shared" si="155"/>
        <v>0</v>
      </c>
      <c r="AH99" s="72" t="s">
        <v>331</v>
      </c>
    </row>
    <row r="100" spans="1:35" s="10" customFormat="1" ht="276.75" customHeight="1" x14ac:dyDescent="0.25">
      <c r="A100" s="570"/>
      <c r="B100" s="552"/>
      <c r="C100" s="124" t="s">
        <v>21</v>
      </c>
      <c r="D100" s="74">
        <f>SUM(J100,L100,N100,P100,R100,T100,V100,X100,Z100,AB100,AD100,AF100)</f>
        <v>9383.8130000000001</v>
      </c>
      <c r="E100" s="74">
        <f>J100</f>
        <v>0</v>
      </c>
      <c r="F100" s="74">
        <f>G100</f>
        <v>0</v>
      </c>
      <c r="G100" s="74">
        <f>SUM(K100,M100,O100,Q100,S100,U100,W100,Y100,AA100,AC100,AE100,AG100)</f>
        <v>0</v>
      </c>
      <c r="H100" s="74">
        <f t="shared" si="148"/>
        <v>0</v>
      </c>
      <c r="I100" s="74">
        <f t="shared" si="149"/>
        <v>0</v>
      </c>
      <c r="J100" s="67">
        <v>0</v>
      </c>
      <c r="K100" s="67">
        <v>0</v>
      </c>
      <c r="L100" s="67">
        <v>0</v>
      </c>
      <c r="M100" s="67">
        <v>0</v>
      </c>
      <c r="N100" s="67">
        <v>0</v>
      </c>
      <c r="O100" s="67">
        <v>0</v>
      </c>
      <c r="P100" s="67">
        <v>0</v>
      </c>
      <c r="Q100" s="67">
        <v>0</v>
      </c>
      <c r="R100" s="67">
        <v>0</v>
      </c>
      <c r="S100" s="67">
        <v>0</v>
      </c>
      <c r="T100" s="67">
        <v>0</v>
      </c>
      <c r="U100" s="67">
        <v>0</v>
      </c>
      <c r="V100" s="67">
        <v>0</v>
      </c>
      <c r="W100" s="67">
        <v>0</v>
      </c>
      <c r="X100" s="67">
        <v>5694.5550000000003</v>
      </c>
      <c r="Y100" s="67">
        <v>0</v>
      </c>
      <c r="Z100" s="67">
        <v>0</v>
      </c>
      <c r="AA100" s="67">
        <v>0</v>
      </c>
      <c r="AB100" s="67">
        <v>0</v>
      </c>
      <c r="AC100" s="67">
        <v>0</v>
      </c>
      <c r="AD100" s="67">
        <v>0</v>
      </c>
      <c r="AE100" s="67">
        <v>0</v>
      </c>
      <c r="AF100" s="67">
        <v>3689.2579999999998</v>
      </c>
      <c r="AG100" s="67">
        <v>0</v>
      </c>
      <c r="AH100" s="75" t="s">
        <v>349</v>
      </c>
    </row>
    <row r="101" spans="1:35" s="10" customFormat="1" ht="33" customHeight="1" x14ac:dyDescent="0.25">
      <c r="A101" s="151"/>
      <c r="B101" s="536" t="s">
        <v>268</v>
      </c>
      <c r="C101" s="537"/>
      <c r="D101" s="537"/>
      <c r="E101" s="537"/>
      <c r="F101" s="537"/>
      <c r="G101" s="537"/>
      <c r="H101" s="537"/>
      <c r="I101" s="537"/>
      <c r="J101" s="537"/>
      <c r="K101" s="537"/>
      <c r="L101" s="537"/>
      <c r="M101" s="537"/>
      <c r="N101" s="537"/>
      <c r="O101" s="537"/>
      <c r="P101" s="537"/>
      <c r="Q101" s="537"/>
      <c r="R101" s="537"/>
      <c r="S101" s="537"/>
      <c r="T101" s="537"/>
      <c r="U101" s="537"/>
      <c r="V101" s="537"/>
      <c r="W101" s="537"/>
      <c r="X101" s="537"/>
      <c r="Y101" s="537"/>
      <c r="Z101" s="537"/>
      <c r="AA101" s="537"/>
      <c r="AB101" s="537"/>
      <c r="AC101" s="537"/>
      <c r="AD101" s="537"/>
      <c r="AE101" s="537"/>
      <c r="AF101" s="537"/>
      <c r="AG101" s="538"/>
      <c r="AH101" s="75"/>
    </row>
    <row r="102" spans="1:35" s="30" customFormat="1" ht="45.75" customHeight="1" x14ac:dyDescent="0.25">
      <c r="A102" s="569" t="s">
        <v>269</v>
      </c>
      <c r="B102" s="578" t="s">
        <v>270</v>
      </c>
      <c r="C102" s="123" t="s">
        <v>20</v>
      </c>
      <c r="D102" s="70">
        <f>D103</f>
        <v>49402.1</v>
      </c>
      <c r="E102" s="70">
        <f t="shared" ref="E102:G102" si="156">E103</f>
        <v>13735.088</v>
      </c>
      <c r="F102" s="70">
        <f t="shared" si="156"/>
        <v>23166.300000000003</v>
      </c>
      <c r="G102" s="70">
        <f t="shared" si="156"/>
        <v>23166.300000000003</v>
      </c>
      <c r="H102" s="70">
        <f t="shared" ref="H102:H105" si="157">IFERROR(G102/D102*100,0)</f>
        <v>46.893350687521391</v>
      </c>
      <c r="I102" s="70">
        <f t="shared" ref="I102:I107" si="158">IFERROR(G102/E102*100,0)</f>
        <v>168.6651006531593</v>
      </c>
      <c r="J102" s="71">
        <f t="shared" ref="J102:AG102" si="159">SUM(J103:J103)</f>
        <v>5251.0879999999997</v>
      </c>
      <c r="K102" s="71">
        <f t="shared" si="159"/>
        <v>4538.9799999999996</v>
      </c>
      <c r="L102" s="71">
        <f t="shared" si="159"/>
        <v>4578</v>
      </c>
      <c r="M102" s="71">
        <f t="shared" si="159"/>
        <v>4578</v>
      </c>
      <c r="N102" s="71">
        <f t="shared" si="159"/>
        <v>3906</v>
      </c>
      <c r="O102" s="71">
        <f t="shared" si="159"/>
        <v>2968.32</v>
      </c>
      <c r="P102" s="71">
        <f t="shared" si="159"/>
        <v>3778.1</v>
      </c>
      <c r="Q102" s="71">
        <f t="shared" si="159"/>
        <v>3537.36</v>
      </c>
      <c r="R102" s="71">
        <f t="shared" si="159"/>
        <v>8618</v>
      </c>
      <c r="S102" s="71">
        <f t="shared" si="159"/>
        <v>3574.06</v>
      </c>
      <c r="T102" s="71">
        <f t="shared" si="159"/>
        <v>7014</v>
      </c>
      <c r="U102" s="71">
        <f t="shared" si="159"/>
        <v>3969.58</v>
      </c>
      <c r="V102" s="71">
        <f t="shared" si="159"/>
        <v>3144</v>
      </c>
      <c r="W102" s="71">
        <f t="shared" si="159"/>
        <v>0</v>
      </c>
      <c r="X102" s="71">
        <f t="shared" si="159"/>
        <v>2906</v>
      </c>
      <c r="Y102" s="71">
        <f t="shared" si="159"/>
        <v>0</v>
      </c>
      <c r="Z102" s="71">
        <f t="shared" si="159"/>
        <v>3916</v>
      </c>
      <c r="AA102" s="71">
        <f t="shared" si="159"/>
        <v>0</v>
      </c>
      <c r="AB102" s="71">
        <f t="shared" si="159"/>
        <v>3315</v>
      </c>
      <c r="AC102" s="71">
        <f t="shared" si="159"/>
        <v>0</v>
      </c>
      <c r="AD102" s="71">
        <f t="shared" si="159"/>
        <v>1342.0520000000001</v>
      </c>
      <c r="AE102" s="71">
        <f t="shared" si="159"/>
        <v>0</v>
      </c>
      <c r="AF102" s="71">
        <f t="shared" si="159"/>
        <v>1633.86</v>
      </c>
      <c r="AG102" s="71">
        <f t="shared" si="159"/>
        <v>0</v>
      </c>
      <c r="AH102" s="72"/>
      <c r="AI102" s="29"/>
    </row>
    <row r="103" spans="1:35" s="31" customFormat="1" ht="78" customHeight="1" x14ac:dyDescent="0.25">
      <c r="A103" s="570"/>
      <c r="B103" s="579"/>
      <c r="C103" s="124" t="s">
        <v>21</v>
      </c>
      <c r="D103" s="74">
        <f>SUM(J103,L103,N103,P103,R103,T103,V103,X103,Z103,AB103,AD103,AF103)</f>
        <v>49402.1</v>
      </c>
      <c r="E103" s="74">
        <f>J103+L103+N103</f>
        <v>13735.088</v>
      </c>
      <c r="F103" s="74">
        <f>G103</f>
        <v>23166.300000000003</v>
      </c>
      <c r="G103" s="74">
        <f>SUM(K103,M103,O103,Q103,S103,U103,W103,Y103,AA103,AC103,AE103,AG103)</f>
        <v>23166.300000000003</v>
      </c>
      <c r="H103" s="74">
        <f t="shared" si="157"/>
        <v>46.893350687521391</v>
      </c>
      <c r="I103" s="74">
        <f>IFERROR(G103/E103*100,0)</f>
        <v>168.6651006531593</v>
      </c>
      <c r="J103" s="67">
        <f>J105+J107</f>
        <v>5251.0879999999997</v>
      </c>
      <c r="K103" s="67">
        <f t="shared" ref="K103:AG103" si="160">K105+K107</f>
        <v>4538.9799999999996</v>
      </c>
      <c r="L103" s="67">
        <f t="shared" si="160"/>
        <v>4578</v>
      </c>
      <c r="M103" s="67">
        <f t="shared" si="160"/>
        <v>4578</v>
      </c>
      <c r="N103" s="67">
        <f t="shared" si="160"/>
        <v>3906</v>
      </c>
      <c r="O103" s="67">
        <f t="shared" si="160"/>
        <v>2968.32</v>
      </c>
      <c r="P103" s="67">
        <f t="shared" si="160"/>
        <v>3778.1</v>
      </c>
      <c r="Q103" s="67">
        <f t="shared" si="160"/>
        <v>3537.36</v>
      </c>
      <c r="R103" s="67">
        <f t="shared" si="160"/>
        <v>8618</v>
      </c>
      <c r="S103" s="67">
        <f t="shared" si="160"/>
        <v>3574.06</v>
      </c>
      <c r="T103" s="67">
        <f t="shared" si="160"/>
        <v>7014</v>
      </c>
      <c r="U103" s="67">
        <f t="shared" si="160"/>
        <v>3969.58</v>
      </c>
      <c r="V103" s="67">
        <f t="shared" si="160"/>
        <v>3144</v>
      </c>
      <c r="W103" s="67">
        <f t="shared" si="160"/>
        <v>0</v>
      </c>
      <c r="X103" s="67">
        <f t="shared" si="160"/>
        <v>2906</v>
      </c>
      <c r="Y103" s="67">
        <f t="shared" si="160"/>
        <v>0</v>
      </c>
      <c r="Z103" s="67">
        <f t="shared" si="160"/>
        <v>3916</v>
      </c>
      <c r="AA103" s="67">
        <f t="shared" si="160"/>
        <v>0</v>
      </c>
      <c r="AB103" s="67">
        <f t="shared" si="160"/>
        <v>3315</v>
      </c>
      <c r="AC103" s="67">
        <f t="shared" si="160"/>
        <v>0</v>
      </c>
      <c r="AD103" s="67">
        <f t="shared" si="160"/>
        <v>1342.0520000000001</v>
      </c>
      <c r="AE103" s="67">
        <f t="shared" si="160"/>
        <v>0</v>
      </c>
      <c r="AF103" s="67">
        <f t="shared" si="160"/>
        <v>1633.86</v>
      </c>
      <c r="AG103" s="67">
        <f t="shared" si="160"/>
        <v>0</v>
      </c>
      <c r="AH103" s="75"/>
      <c r="AI103" s="29"/>
    </row>
    <row r="104" spans="1:35" s="10" customFormat="1" ht="60" customHeight="1" x14ac:dyDescent="0.25">
      <c r="A104" s="569"/>
      <c r="B104" s="575" t="s">
        <v>271</v>
      </c>
      <c r="C104" s="123" t="s">
        <v>20</v>
      </c>
      <c r="D104" s="70">
        <f>D105</f>
        <v>49302.1</v>
      </c>
      <c r="E104" s="70">
        <f t="shared" ref="E104:G104" si="161">E105</f>
        <v>33145.187999999995</v>
      </c>
      <c r="F104" s="70">
        <f t="shared" si="161"/>
        <v>23166.300000000003</v>
      </c>
      <c r="G104" s="70">
        <f t="shared" si="161"/>
        <v>23166.300000000003</v>
      </c>
      <c r="H104" s="70">
        <f t="shared" si="157"/>
        <v>46.988464994391727</v>
      </c>
      <c r="I104" s="70">
        <f t="shared" si="158"/>
        <v>69.89340353115513</v>
      </c>
      <c r="J104" s="71">
        <f t="shared" ref="J104:AG104" si="162">SUM(J105:J105)</f>
        <v>5251.0879999999997</v>
      </c>
      <c r="K104" s="71">
        <f t="shared" si="162"/>
        <v>4538.9799999999996</v>
      </c>
      <c r="L104" s="71">
        <f t="shared" si="162"/>
        <v>4578</v>
      </c>
      <c r="M104" s="71">
        <f t="shared" si="162"/>
        <v>4578</v>
      </c>
      <c r="N104" s="71">
        <f t="shared" si="162"/>
        <v>3906</v>
      </c>
      <c r="O104" s="71">
        <f t="shared" si="162"/>
        <v>2968.32</v>
      </c>
      <c r="P104" s="71">
        <f t="shared" si="162"/>
        <v>3778.1</v>
      </c>
      <c r="Q104" s="71">
        <f t="shared" si="162"/>
        <v>3537.36</v>
      </c>
      <c r="R104" s="71">
        <f t="shared" si="162"/>
        <v>8618</v>
      </c>
      <c r="S104" s="71">
        <f t="shared" si="162"/>
        <v>3574.06</v>
      </c>
      <c r="T104" s="71">
        <f t="shared" si="162"/>
        <v>7014</v>
      </c>
      <c r="U104" s="71">
        <f t="shared" si="162"/>
        <v>3969.58</v>
      </c>
      <c r="V104" s="71">
        <f t="shared" si="162"/>
        <v>3144</v>
      </c>
      <c r="W104" s="71">
        <f t="shared" si="162"/>
        <v>0</v>
      </c>
      <c r="X104" s="71">
        <f t="shared" si="162"/>
        <v>2806</v>
      </c>
      <c r="Y104" s="71">
        <f t="shared" si="162"/>
        <v>0</v>
      </c>
      <c r="Z104" s="71">
        <f t="shared" si="162"/>
        <v>3916</v>
      </c>
      <c r="AA104" s="71">
        <f t="shared" si="162"/>
        <v>0</v>
      </c>
      <c r="AB104" s="71">
        <f t="shared" si="162"/>
        <v>3315</v>
      </c>
      <c r="AC104" s="71">
        <f t="shared" si="162"/>
        <v>0</v>
      </c>
      <c r="AD104" s="71">
        <f t="shared" si="162"/>
        <v>1342.0520000000001</v>
      </c>
      <c r="AE104" s="71">
        <f t="shared" si="162"/>
        <v>0</v>
      </c>
      <c r="AF104" s="71">
        <f t="shared" si="162"/>
        <v>1633.86</v>
      </c>
      <c r="AG104" s="71">
        <f t="shared" si="162"/>
        <v>0</v>
      </c>
      <c r="AH104" s="72"/>
    </row>
    <row r="105" spans="1:35" s="10" customFormat="1" ht="62.25" customHeight="1" x14ac:dyDescent="0.25">
      <c r="A105" s="570"/>
      <c r="B105" s="576"/>
      <c r="C105" s="124" t="s">
        <v>21</v>
      </c>
      <c r="D105" s="74">
        <f>SUM(J105,L105,N105,P105,R105,T105,V105,X105,Z105,AB105,AD105,AF105)</f>
        <v>49302.1</v>
      </c>
      <c r="E105" s="74">
        <f>J105+L105+N105+P105+R105+T105</f>
        <v>33145.187999999995</v>
      </c>
      <c r="F105" s="74">
        <f>G105</f>
        <v>23166.300000000003</v>
      </c>
      <c r="G105" s="74">
        <f>SUM(K105,M105,O105,Q105,S105,U105,W105,Y105,AA105,AC105,AE105,AG105)</f>
        <v>23166.300000000003</v>
      </c>
      <c r="H105" s="74">
        <f t="shared" si="157"/>
        <v>46.988464994391727</v>
      </c>
      <c r="I105" s="74">
        <f t="shared" si="158"/>
        <v>69.89340353115513</v>
      </c>
      <c r="J105" s="67">
        <v>5251.0879999999997</v>
      </c>
      <c r="K105" s="67">
        <v>4538.9799999999996</v>
      </c>
      <c r="L105" s="67">
        <v>4578</v>
      </c>
      <c r="M105" s="67">
        <v>4578</v>
      </c>
      <c r="N105" s="67">
        <v>3906</v>
      </c>
      <c r="O105" s="67">
        <v>2968.32</v>
      </c>
      <c r="P105" s="67">
        <v>3778.1</v>
      </c>
      <c r="Q105" s="67">
        <v>3537.36</v>
      </c>
      <c r="R105" s="67">
        <v>8618</v>
      </c>
      <c r="S105" s="67">
        <v>3574.06</v>
      </c>
      <c r="T105" s="67">
        <v>7014</v>
      </c>
      <c r="U105" s="67">
        <v>3969.58</v>
      </c>
      <c r="V105" s="67">
        <v>3144</v>
      </c>
      <c r="W105" s="67">
        <v>0</v>
      </c>
      <c r="X105" s="67">
        <v>2806</v>
      </c>
      <c r="Y105" s="67">
        <v>0</v>
      </c>
      <c r="Z105" s="67">
        <v>3916</v>
      </c>
      <c r="AA105" s="67">
        <v>0</v>
      </c>
      <c r="AB105" s="67">
        <v>3315</v>
      </c>
      <c r="AC105" s="67">
        <v>0</v>
      </c>
      <c r="AD105" s="67">
        <f>3112.452-1770.4</f>
        <v>1342.0520000000001</v>
      </c>
      <c r="AE105" s="67">
        <v>0</v>
      </c>
      <c r="AF105" s="67">
        <v>1633.86</v>
      </c>
      <c r="AG105" s="67">
        <v>0</v>
      </c>
      <c r="AH105" s="75" t="s">
        <v>351</v>
      </c>
    </row>
    <row r="106" spans="1:35" s="10" customFormat="1" ht="23.25" customHeight="1" x14ac:dyDescent="0.25">
      <c r="A106" s="569"/>
      <c r="B106" s="552" t="s">
        <v>272</v>
      </c>
      <c r="C106" s="123" t="s">
        <v>20</v>
      </c>
      <c r="D106" s="70">
        <f>D107</f>
        <v>100</v>
      </c>
      <c r="E106" s="70">
        <f t="shared" ref="E106:G106" si="163">E107</f>
        <v>0</v>
      </c>
      <c r="F106" s="70">
        <f t="shared" si="163"/>
        <v>0</v>
      </c>
      <c r="G106" s="70">
        <f t="shared" si="163"/>
        <v>0</v>
      </c>
      <c r="H106" s="70">
        <f>IFERROR(G106/D106*100,0)</f>
        <v>0</v>
      </c>
      <c r="I106" s="70">
        <f t="shared" si="158"/>
        <v>0</v>
      </c>
      <c r="J106" s="71">
        <f t="shared" ref="J106:AG106" si="164">SUM(J107:J107)</f>
        <v>0</v>
      </c>
      <c r="K106" s="71">
        <f t="shared" si="164"/>
        <v>0</v>
      </c>
      <c r="L106" s="71">
        <f t="shared" si="164"/>
        <v>0</v>
      </c>
      <c r="M106" s="71">
        <f t="shared" si="164"/>
        <v>0</v>
      </c>
      <c r="N106" s="71">
        <f t="shared" si="164"/>
        <v>0</v>
      </c>
      <c r="O106" s="71">
        <f t="shared" si="164"/>
        <v>0</v>
      </c>
      <c r="P106" s="71">
        <f t="shared" si="164"/>
        <v>0</v>
      </c>
      <c r="Q106" s="71">
        <f t="shared" si="164"/>
        <v>0</v>
      </c>
      <c r="R106" s="71">
        <f t="shared" si="164"/>
        <v>0</v>
      </c>
      <c r="S106" s="71">
        <f t="shared" si="164"/>
        <v>0</v>
      </c>
      <c r="T106" s="71">
        <f t="shared" si="164"/>
        <v>0</v>
      </c>
      <c r="U106" s="71">
        <f t="shared" si="164"/>
        <v>0</v>
      </c>
      <c r="V106" s="71">
        <f t="shared" si="164"/>
        <v>0</v>
      </c>
      <c r="W106" s="71">
        <f t="shared" si="164"/>
        <v>0</v>
      </c>
      <c r="X106" s="71">
        <f t="shared" si="164"/>
        <v>100</v>
      </c>
      <c r="Y106" s="71">
        <f t="shared" si="164"/>
        <v>0</v>
      </c>
      <c r="Z106" s="71">
        <f t="shared" si="164"/>
        <v>0</v>
      </c>
      <c r="AA106" s="71">
        <f t="shared" si="164"/>
        <v>0</v>
      </c>
      <c r="AB106" s="71">
        <f t="shared" si="164"/>
        <v>0</v>
      </c>
      <c r="AC106" s="71">
        <f t="shared" si="164"/>
        <v>0</v>
      </c>
      <c r="AD106" s="71">
        <f t="shared" si="164"/>
        <v>0</v>
      </c>
      <c r="AE106" s="71">
        <f t="shared" si="164"/>
        <v>0</v>
      </c>
      <c r="AF106" s="71">
        <f t="shared" si="164"/>
        <v>0</v>
      </c>
      <c r="AG106" s="71">
        <f t="shared" si="164"/>
        <v>0</v>
      </c>
      <c r="AH106" s="72"/>
    </row>
    <row r="107" spans="1:35" s="10" customFormat="1" ht="42" customHeight="1" x14ac:dyDescent="0.25">
      <c r="A107" s="570"/>
      <c r="B107" s="552"/>
      <c r="C107" s="124" t="s">
        <v>21</v>
      </c>
      <c r="D107" s="74">
        <f>SUM(J107,L107,N107,P107,R107,T107,V107,X107,Z107,AB107,AD107,AF107)</f>
        <v>100</v>
      </c>
      <c r="E107" s="74">
        <f>J107</f>
        <v>0</v>
      </c>
      <c r="F107" s="74">
        <f>G107</f>
        <v>0</v>
      </c>
      <c r="G107" s="74">
        <f>SUM(K107,M107,O107,Q107,S107,U107,W107,Y107,AA107,AC107,AE107,AG107)</f>
        <v>0</v>
      </c>
      <c r="H107" s="74">
        <f>IFERROR(G107/D107*100,0)</f>
        <v>0</v>
      </c>
      <c r="I107" s="74">
        <f t="shared" si="158"/>
        <v>0</v>
      </c>
      <c r="J107" s="67">
        <v>0</v>
      </c>
      <c r="K107" s="67">
        <v>0</v>
      </c>
      <c r="L107" s="67">
        <v>0</v>
      </c>
      <c r="M107" s="67">
        <v>0</v>
      </c>
      <c r="N107" s="67">
        <v>0</v>
      </c>
      <c r="O107" s="67">
        <v>0</v>
      </c>
      <c r="P107" s="67">
        <v>0</v>
      </c>
      <c r="Q107" s="67">
        <v>0</v>
      </c>
      <c r="R107" s="67">
        <v>0</v>
      </c>
      <c r="S107" s="67">
        <v>0</v>
      </c>
      <c r="T107" s="67">
        <v>0</v>
      </c>
      <c r="U107" s="67">
        <v>0</v>
      </c>
      <c r="V107" s="67">
        <v>0</v>
      </c>
      <c r="W107" s="67">
        <v>0</v>
      </c>
      <c r="X107" s="67">
        <v>100</v>
      </c>
      <c r="Y107" s="67">
        <v>0</v>
      </c>
      <c r="Z107" s="67">
        <v>0</v>
      </c>
      <c r="AA107" s="67">
        <v>0</v>
      </c>
      <c r="AB107" s="67">
        <v>0</v>
      </c>
      <c r="AC107" s="67">
        <v>0</v>
      </c>
      <c r="AD107" s="67">
        <v>0</v>
      </c>
      <c r="AE107" s="67">
        <v>0</v>
      </c>
      <c r="AF107" s="67">
        <v>0</v>
      </c>
      <c r="AG107" s="67">
        <v>0</v>
      </c>
      <c r="AH107" s="75"/>
    </row>
    <row r="108" spans="1:35" s="10" customFormat="1" ht="71.25" customHeight="1" x14ac:dyDescent="0.25">
      <c r="A108" s="361"/>
      <c r="B108" s="363" t="s">
        <v>362</v>
      </c>
      <c r="C108" s="364" t="s">
        <v>20</v>
      </c>
      <c r="D108" s="365">
        <f>D109+D110+D111</f>
        <v>1440.52</v>
      </c>
      <c r="E108" s="365">
        <f t="shared" ref="E108:F108" si="165">E109+E110+E111</f>
        <v>1440.52</v>
      </c>
      <c r="F108" s="365">
        <f t="shared" si="165"/>
        <v>0</v>
      </c>
      <c r="G108" s="365">
        <f>G109+G110+G111</f>
        <v>0</v>
      </c>
      <c r="H108" s="70">
        <f t="shared" ref="H108:H111" si="166">IFERROR(G108/D108*100,0)</f>
        <v>0</v>
      </c>
      <c r="I108" s="70">
        <f t="shared" ref="I108:I111" si="167">IFERROR(G108/E108*100,0)</f>
        <v>0</v>
      </c>
      <c r="J108" s="366">
        <f>SUM(J109+J110+J111)</f>
        <v>0</v>
      </c>
      <c r="K108" s="366">
        <f t="shared" ref="K108:AG108" si="168">SUM(K109+K110+K111)</f>
        <v>0</v>
      </c>
      <c r="L108" s="366">
        <f t="shared" si="168"/>
        <v>0</v>
      </c>
      <c r="M108" s="366">
        <f t="shared" si="168"/>
        <v>0</v>
      </c>
      <c r="N108" s="366">
        <f t="shared" si="168"/>
        <v>0</v>
      </c>
      <c r="O108" s="366">
        <f t="shared" si="168"/>
        <v>0</v>
      </c>
      <c r="P108" s="366">
        <f t="shared" si="168"/>
        <v>0</v>
      </c>
      <c r="Q108" s="366">
        <f t="shared" si="168"/>
        <v>0</v>
      </c>
      <c r="R108" s="366">
        <f t="shared" si="168"/>
        <v>1440.52</v>
      </c>
      <c r="S108" s="366">
        <f t="shared" si="168"/>
        <v>0</v>
      </c>
      <c r="T108" s="366">
        <f t="shared" si="168"/>
        <v>0</v>
      </c>
      <c r="U108" s="366">
        <f t="shared" si="168"/>
        <v>0</v>
      </c>
      <c r="V108" s="366">
        <f t="shared" si="168"/>
        <v>0</v>
      </c>
      <c r="W108" s="366">
        <f t="shared" si="168"/>
        <v>0</v>
      </c>
      <c r="X108" s="366">
        <f t="shared" si="168"/>
        <v>0</v>
      </c>
      <c r="Y108" s="366">
        <f t="shared" si="168"/>
        <v>0</v>
      </c>
      <c r="Z108" s="366">
        <f t="shared" si="168"/>
        <v>0</v>
      </c>
      <c r="AA108" s="366">
        <f t="shared" si="168"/>
        <v>0</v>
      </c>
      <c r="AB108" s="366">
        <f t="shared" si="168"/>
        <v>0</v>
      </c>
      <c r="AC108" s="366">
        <f t="shared" si="168"/>
        <v>0</v>
      </c>
      <c r="AD108" s="366">
        <f t="shared" si="168"/>
        <v>0</v>
      </c>
      <c r="AE108" s="366">
        <f t="shared" si="168"/>
        <v>0</v>
      </c>
      <c r="AF108" s="366">
        <f t="shared" si="168"/>
        <v>0</v>
      </c>
      <c r="AG108" s="366">
        <f t="shared" si="168"/>
        <v>0</v>
      </c>
      <c r="AH108" s="367" t="s">
        <v>363</v>
      </c>
    </row>
    <row r="109" spans="1:35" s="10" customFormat="1" ht="71.25" customHeight="1" x14ac:dyDescent="0.25">
      <c r="A109" s="135"/>
      <c r="B109" s="362"/>
      <c r="C109" s="124" t="s">
        <v>21</v>
      </c>
      <c r="D109" s="70">
        <f>J109+L109+N109+P109+R109+T109+V109</f>
        <v>1006.2</v>
      </c>
      <c r="E109" s="70">
        <f>J109+L109+N109+P109+R109</f>
        <v>1006.2</v>
      </c>
      <c r="F109" s="70">
        <f>G109</f>
        <v>0</v>
      </c>
      <c r="G109" s="70">
        <f>K109+M109+O109+Q109+S109+U109</f>
        <v>0</v>
      </c>
      <c r="H109" s="70">
        <f t="shared" si="166"/>
        <v>0</v>
      </c>
      <c r="I109" s="70">
        <f t="shared" si="167"/>
        <v>0</v>
      </c>
      <c r="J109" s="71"/>
      <c r="K109" s="71"/>
      <c r="L109" s="71"/>
      <c r="M109" s="71"/>
      <c r="N109" s="71"/>
      <c r="O109" s="71"/>
      <c r="P109" s="71"/>
      <c r="Q109" s="71"/>
      <c r="R109" s="369">
        <v>1006.2</v>
      </c>
      <c r="S109" s="369"/>
      <c r="T109" s="71"/>
      <c r="U109" s="71"/>
      <c r="V109" s="71"/>
      <c r="W109" s="71"/>
      <c r="X109" s="71"/>
      <c r="Y109" s="71"/>
      <c r="Z109" s="71"/>
      <c r="AA109" s="71"/>
      <c r="AB109" s="71"/>
      <c r="AC109" s="71"/>
      <c r="AD109" s="71"/>
      <c r="AE109" s="71"/>
      <c r="AF109" s="71"/>
      <c r="AG109" s="71"/>
      <c r="AH109" s="72"/>
    </row>
    <row r="110" spans="1:35" ht="30" x14ac:dyDescent="0.25">
      <c r="A110" s="368"/>
      <c r="B110" s="368"/>
      <c r="C110" s="124" t="s">
        <v>347</v>
      </c>
      <c r="D110" s="70">
        <f t="shared" ref="D110:D111" si="169">J110+L110+N110+P110+R110+T110+V110</f>
        <v>333.32</v>
      </c>
      <c r="E110" s="70">
        <f t="shared" ref="E110:E111" si="170">J110+L110+N110+P110+R110</f>
        <v>333.32</v>
      </c>
      <c r="F110" s="70">
        <f t="shared" ref="F110:F111" si="171">G110</f>
        <v>0</v>
      </c>
      <c r="G110" s="70">
        <f t="shared" ref="G110:G111" si="172">K110+M110+O110+Q110+S110+U110</f>
        <v>0</v>
      </c>
      <c r="H110" s="70">
        <f t="shared" si="166"/>
        <v>0</v>
      </c>
      <c r="I110" s="70">
        <f t="shared" si="167"/>
        <v>0</v>
      </c>
      <c r="J110" s="368"/>
      <c r="K110" s="368"/>
      <c r="L110" s="368"/>
      <c r="M110" s="368"/>
      <c r="N110" s="368"/>
      <c r="O110" s="368"/>
      <c r="P110" s="368"/>
      <c r="Q110" s="368"/>
      <c r="R110" s="371">
        <v>333.32</v>
      </c>
      <c r="S110" s="370"/>
      <c r="T110" s="368"/>
      <c r="U110" s="368"/>
      <c r="V110" s="368"/>
      <c r="W110" s="368"/>
      <c r="X110" s="368"/>
      <c r="Y110" s="368"/>
      <c r="Z110" s="368"/>
      <c r="AA110" s="368"/>
      <c r="AB110" s="368"/>
      <c r="AC110" s="368"/>
      <c r="AD110" s="368"/>
      <c r="AE110" s="368"/>
      <c r="AF110" s="368"/>
      <c r="AG110" s="368"/>
      <c r="AH110" s="368"/>
    </row>
    <row r="111" spans="1:35" ht="30" x14ac:dyDescent="0.25">
      <c r="A111" s="368"/>
      <c r="B111" s="368"/>
      <c r="C111" s="126" t="s">
        <v>22</v>
      </c>
      <c r="D111" s="70">
        <f t="shared" si="169"/>
        <v>101</v>
      </c>
      <c r="E111" s="70">
        <f t="shared" si="170"/>
        <v>101</v>
      </c>
      <c r="F111" s="70">
        <f t="shared" si="171"/>
        <v>0</v>
      </c>
      <c r="G111" s="70">
        <f t="shared" si="172"/>
        <v>0</v>
      </c>
      <c r="H111" s="70">
        <f t="shared" si="166"/>
        <v>0</v>
      </c>
      <c r="I111" s="70">
        <f t="shared" si="167"/>
        <v>0</v>
      </c>
      <c r="J111" s="368"/>
      <c r="K111" s="368"/>
      <c r="L111" s="368"/>
      <c r="M111" s="368"/>
      <c r="N111" s="368"/>
      <c r="O111" s="368"/>
      <c r="P111" s="368"/>
      <c r="Q111" s="368"/>
      <c r="R111" s="371">
        <v>101</v>
      </c>
      <c r="S111" s="370"/>
      <c r="T111" s="368"/>
      <c r="U111" s="368"/>
      <c r="V111" s="368"/>
      <c r="W111" s="368"/>
      <c r="X111" s="368"/>
      <c r="Y111" s="368"/>
      <c r="Z111" s="368"/>
      <c r="AA111" s="368"/>
      <c r="AB111" s="368"/>
      <c r="AC111" s="368"/>
      <c r="AD111" s="368"/>
      <c r="AE111" s="368"/>
      <c r="AF111" s="368"/>
      <c r="AG111" s="368"/>
      <c r="AH111" s="368"/>
    </row>
  </sheetData>
  <customSheetViews>
    <customSheetView guid="{133BB3F8-8DD4-4AEF-8CD6-A5FB14681329}" scale="80" hiddenRows="1" state="hidden">
      <pane xSplit="6" ySplit="7" topLeftCell="G95" activePane="bottomRight" state="frozen"/>
      <selection pane="bottomRight" activeCell="Q19" sqref="Q19"/>
      <pageMargins left="0.7" right="0.7" top="0.75" bottom="0.75" header="0.3" footer="0.3"/>
      <pageSetup paperSize="9" orientation="portrait" r:id="rId1"/>
    </customSheetView>
    <customSheetView guid="{7C5A2A36-3D69-43D9-9018-A52C27EC78F9}" scale="80" hiddenRows="1">
      <pane xSplit="6" ySplit="7" topLeftCell="G29" activePane="bottomRight" state="frozen"/>
      <selection pane="bottomRight" activeCell="A8" sqref="A8:XFD12"/>
      <pageMargins left="0.7" right="0.7" top="0.75" bottom="0.75" header="0.3" footer="0.3"/>
      <pageSetup paperSize="9" orientation="portrait" r:id="rId2"/>
    </customSheetView>
    <customSheetView guid="{2A5A11D4-90C6-4A3E-8165-7D7BD634B22F}" scale="80" hiddenRows="1">
      <pane xSplit="6" ySplit="7" topLeftCell="G29" activePane="bottomRight" state="frozen"/>
      <selection pane="bottomRight" activeCell="A8" sqref="A8:XFD12"/>
      <pageMargins left="0.7" right="0.7" top="0.75" bottom="0.75" header="0.3" footer="0.3"/>
      <pageSetup paperSize="9" orientation="portrait" r:id="rId3"/>
    </customSheetView>
    <customSheetView guid="{996EC2F0-F6EC-4E63-A83E-34865157BD8D}" scale="80" hiddenRows="1">
      <pane xSplit="6" ySplit="7" topLeftCell="R8" activePane="bottomRight" state="frozen"/>
      <selection pane="bottomRight" activeCell="E9" sqref="E9:E12"/>
      <pageMargins left="0.7" right="0.7" top="0.75" bottom="0.75" header="0.3" footer="0.3"/>
      <pageSetup paperSize="9" orientation="portrait" r:id="rId4"/>
    </customSheetView>
    <customSheetView guid="{AB9978E4-895D-4050-8F07-2484E22632D1}" scale="80" hiddenRows="1">
      <pane xSplit="6" ySplit="7" topLeftCell="G20" activePane="bottomRight" state="frozen"/>
      <selection pane="bottomRight" activeCell="A8" sqref="A8:XFD12"/>
      <pageMargins left="0.7" right="0.7" top="0.75" bottom="0.75" header="0.3" footer="0.3"/>
      <pageSetup paperSize="9" orientation="portrait" r:id="rId5"/>
    </customSheetView>
    <customSheetView guid="{21E1D423-7B38-4272-8354-09B4DB62C9EB}" scale="80" hiddenRows="1">
      <pane xSplit="6" ySplit="7" topLeftCell="G29" activePane="bottomRight" state="frozen"/>
      <selection pane="bottomRight" activeCell="A8" sqref="A8:XFD12"/>
      <pageMargins left="0.7" right="0.7" top="0.75" bottom="0.75" header="0.3" footer="0.3"/>
      <pageSetup paperSize="9" orientation="portrait" r:id="rId6"/>
    </customSheetView>
    <customSheetView guid="{2940A182-D1A7-43C5-8D6E-965BED4371B0}" scale="80" hiddenRows="1">
      <pane xSplit="6" ySplit="7" topLeftCell="G29" activePane="bottomRight" state="frozen"/>
      <selection pane="bottomRight" activeCell="A8" sqref="A8:XFD12"/>
      <pageMargins left="0.7" right="0.7" top="0.75" bottom="0.75" header="0.3" footer="0.3"/>
      <pageSetup paperSize="9" orientation="portrait" r:id="rId7"/>
    </customSheetView>
    <customSheetView guid="{A0E2FBF6-E560-4343-8BE6-217DC798135B}" scale="80" hiddenRows="1">
      <pane xSplit="6" ySplit="7" topLeftCell="G95" activePane="bottomRight" state="frozen"/>
      <selection pane="bottomRight" activeCell="K100" sqref="K100"/>
      <pageMargins left="0.7" right="0.7" top="0.75" bottom="0.75" header="0.3" footer="0.3"/>
      <pageSetup paperSize="9" orientation="portrait" r:id="rId8"/>
    </customSheetView>
    <customSheetView guid="{BBF6B43F-E0FC-43DF-B91C-674F6AB4B556}" scale="80" hiddenRows="1">
      <pane xSplit="6" ySplit="7" topLeftCell="G20" activePane="bottomRight" state="frozen"/>
      <selection pane="bottomRight" activeCell="A8" sqref="A8:XFD12"/>
      <pageMargins left="0.7" right="0.7" top="0.75" bottom="0.75" header="0.3" footer="0.3"/>
      <pageSetup paperSize="9" orientation="portrait" r:id="rId9"/>
    </customSheetView>
    <customSheetView guid="{C68436F4-AFB3-4D1D-A7C4-56D0C677D68E}" scale="80" hiddenRows="1">
      <pane xSplit="6" ySplit="7" topLeftCell="G29" activePane="bottomRight" state="frozen"/>
      <selection pane="bottomRight" activeCell="A8" sqref="A8:XFD12"/>
      <pageMargins left="0.7" right="0.7" top="0.75" bottom="0.75" header="0.3" footer="0.3"/>
      <pageSetup paperSize="9" orientation="portrait" r:id="rId10"/>
    </customSheetView>
    <customSheetView guid="{DAEDC989-02E7-4319-8354-59410ACF3F1F}" scale="80" hiddenRows="1">
      <pane xSplit="6" ySplit="7" topLeftCell="G29" activePane="bottomRight" state="frozen"/>
      <selection pane="bottomRight" activeCell="A8" sqref="A8:XFD12"/>
      <pageMargins left="0.7" right="0.7" top="0.75" bottom="0.75" header="0.3" footer="0.3"/>
      <pageSetup paperSize="9" orientation="portrait" r:id="rId11"/>
    </customSheetView>
    <customSheetView guid="{519948E4-0B24-465F-9D9E-44BE50D1D647}" scale="80" hiddenRows="1">
      <pane xSplit="6" ySplit="7" topLeftCell="G29" activePane="bottomRight" state="frozen"/>
      <selection pane="bottomRight" activeCell="A8" sqref="A8:XFD12"/>
      <pageMargins left="0.7" right="0.7" top="0.75" bottom="0.75" header="0.3" footer="0.3"/>
      <pageSetup paperSize="9" orientation="portrait" r:id="rId12"/>
    </customSheetView>
    <customSheetView guid="{C7DC638A-7F60-46C9-A1FB-9ADEAE87F332}" scale="80" hiddenRows="1">
      <pane xSplit="6" ySplit="7" topLeftCell="G29" activePane="bottomRight" state="frozen"/>
      <selection pane="bottomRight" activeCell="A8" sqref="A8:XFD12"/>
      <pageMargins left="0.7" right="0.7" top="0.75" bottom="0.75" header="0.3" footer="0.3"/>
      <pageSetup paperSize="9" orientation="portrait" r:id="rId13"/>
    </customSheetView>
    <customSheetView guid="{C01DC081-B312-4391-B775-A8CE76216D71}" scale="80" hiddenRows="1">
      <pane xSplit="6" ySplit="7" topLeftCell="G20" activePane="bottomRight" state="frozen"/>
      <selection pane="bottomRight" activeCell="A8" sqref="A8:XFD12"/>
      <pageMargins left="0.7" right="0.7" top="0.75" bottom="0.75" header="0.3" footer="0.3"/>
      <pageSetup paperSize="9" orientation="portrait" r:id="rId14"/>
    </customSheetView>
    <customSheetView guid="{562453CE-35F5-40A3-AD14-6399D1197C99}" scale="80" hiddenRows="1">
      <pane xSplit="6" ySplit="7" topLeftCell="G29" activePane="bottomRight" state="frozen"/>
      <selection pane="bottomRight" activeCell="A8" sqref="A8:XFD12"/>
      <pageMargins left="0.7" right="0.7" top="0.75" bottom="0.75" header="0.3" footer="0.3"/>
      <pageSetup paperSize="9" orientation="portrait" r:id="rId15"/>
    </customSheetView>
    <customSheetView guid="{A7640BE7-6438-4196-9A67-AF5B992A1E70}" scale="80" hiddenRows="1">
      <pane xSplit="6" ySplit="7" topLeftCell="G20" activePane="bottomRight" state="frozen"/>
      <selection pane="bottomRight" activeCell="A8" sqref="A8:XFD12"/>
      <pageMargins left="0.7" right="0.7" top="0.75" bottom="0.75" header="0.3" footer="0.3"/>
      <pageSetup paperSize="9" orientation="portrait" r:id="rId16"/>
    </customSheetView>
    <customSheetView guid="{30B635D9-57DB-47D5-8A0F-4B30DD769960}" scale="80" hiddenRows="1">
      <pane xSplit="6" ySplit="7" topLeftCell="G20" activePane="bottomRight" state="frozen"/>
      <selection pane="bottomRight" activeCell="A8" sqref="A8:XFD12"/>
      <pageMargins left="0.7" right="0.7" top="0.75" bottom="0.75" header="0.3" footer="0.3"/>
      <pageSetup paperSize="9" orientation="portrait" r:id="rId17"/>
    </customSheetView>
    <customSheetView guid="{20A05A62-CBE8-4538-BBC3-2AD9D3B8FAC0}" scale="80" hiddenRows="1">
      <pane xSplit="6" ySplit="7" topLeftCell="G29" activePane="bottomRight" state="frozen"/>
      <selection pane="bottomRight" activeCell="A8" sqref="A8:XFD12"/>
      <pageMargins left="0.7" right="0.7" top="0.75" bottom="0.75" header="0.3" footer="0.3"/>
      <pageSetup paperSize="9" orientation="portrait" r:id="rId18"/>
    </customSheetView>
    <customSheetView guid="{C282AA4E-1BB5-4296-9AC6-844C0F88E5FC}" scale="80" hiddenRows="1">
      <pane xSplit="6" ySplit="7" topLeftCell="G29" activePane="bottomRight" state="frozen"/>
      <selection pane="bottomRight" activeCell="A8" sqref="A8:XFD12"/>
      <pageMargins left="0.7" right="0.7" top="0.75" bottom="0.75" header="0.3" footer="0.3"/>
      <pageSetup paperSize="9" orientation="portrait" r:id="rId19"/>
    </customSheetView>
    <customSheetView guid="{4E221C17-6DAB-4FFA-B18C-35D4D85AF6E8}" scale="80" hiddenRows="1">
      <pane xSplit="6" ySplit="7" topLeftCell="G20" activePane="bottomRight" state="frozen"/>
      <selection pane="bottomRight" activeCell="A8" sqref="A8:XFD12"/>
      <pageMargins left="0.7" right="0.7" top="0.75" bottom="0.75" header="0.3" footer="0.3"/>
      <pageSetup paperSize="9" orientation="portrait" r:id="rId20"/>
    </customSheetView>
    <customSheetView guid="{AFADB96A-0516-43C1-9F1B-0604F3CAC04A}" scale="80" hiddenRows="1">
      <pane xSplit="6" ySplit="7" topLeftCell="G29" activePane="bottomRight" state="frozen"/>
      <selection pane="bottomRight" activeCell="A8" sqref="A8:XFD12"/>
      <pageMargins left="0.7" right="0.7" top="0.75" bottom="0.75" header="0.3" footer="0.3"/>
      <pageSetup paperSize="9" orientation="portrait" r:id="rId21"/>
    </customSheetView>
    <customSheetView guid="{F528EF6A-C113-49B5-B25F-D660F898CBFB}" scale="80" hiddenRows="1">
      <pane xSplit="6" ySplit="7" topLeftCell="G29" activePane="bottomRight" state="frozen"/>
      <selection pane="bottomRight" activeCell="A8" sqref="A8:XFD12"/>
      <pageMargins left="0.7" right="0.7" top="0.75" bottom="0.75" header="0.3" footer="0.3"/>
      <pageSetup paperSize="9" orientation="portrait" r:id="rId22"/>
    </customSheetView>
    <customSheetView guid="{B6B60ED6-A6CC-4DA7-A8CA-5E6DB52D5A87}" scale="80" hiddenRows="1">
      <pane xSplit="6" ySplit="7" topLeftCell="G20" activePane="bottomRight" state="frozen"/>
      <selection pane="bottomRight" activeCell="A8" sqref="A8:XFD12"/>
      <pageMargins left="0.7" right="0.7" top="0.75" bottom="0.75" header="0.3" footer="0.3"/>
      <pageSetup paperSize="9" orientation="portrait" r:id="rId23"/>
    </customSheetView>
    <customSheetView guid="{A4AF2100-C59D-4F60-9EAB-56D9103463F7}" scale="80" hiddenRows="1">
      <pane xSplit="6" ySplit="7" topLeftCell="L89" activePane="bottomRight" state="frozen"/>
      <selection pane="bottomRight" activeCell="X93" sqref="X93"/>
      <pageMargins left="0.7" right="0.7" top="0.75" bottom="0.75" header="0.3" footer="0.3"/>
      <pageSetup paperSize="9" orientation="portrait" r:id="rId24"/>
    </customSheetView>
    <customSheetView guid="{EA46B61D-849C-4795-A4FF-F8F1740022EB}" scale="80" hiddenRows="1">
      <pane xSplit="6" ySplit="7" topLeftCell="G29" activePane="bottomRight" state="frozen"/>
      <selection pane="bottomRight" activeCell="A8" sqref="A8:XFD12"/>
      <pageMargins left="0.7" right="0.7" top="0.75" bottom="0.75" header="0.3" footer="0.3"/>
      <pageSetup paperSize="9" orientation="portrait" r:id="rId25"/>
    </customSheetView>
    <customSheetView guid="{B686A221-D885-4536-BEAC-E7F4BBC02150}" scale="80" hiddenRows="1">
      <pane xSplit="6" ySplit="7" topLeftCell="G20" activePane="bottomRight" state="frozen"/>
      <selection pane="bottomRight" activeCell="A8" sqref="A8:XFD12"/>
      <pageMargins left="0.7" right="0.7" top="0.75" bottom="0.75" header="0.3" footer="0.3"/>
      <pageSetup paperSize="9" orientation="portrait" r:id="rId26"/>
    </customSheetView>
    <customSheetView guid="{60A1F930-4BEC-460A-8E14-01E47F6DD055}" scale="80" hiddenRows="1">
      <pane xSplit="6" ySplit="4" topLeftCell="G29" activePane="bottomRight" state="frozen"/>
      <selection pane="bottomRight" activeCell="A8" sqref="A8:XFD12"/>
      <pageMargins left="0.7" right="0.7" top="0.75" bottom="0.75" header="0.3" footer="0.3"/>
      <pageSetup paperSize="9" orientation="portrait" r:id="rId27"/>
    </customSheetView>
    <customSheetView guid="{5DF2C78B-5EE4-439D-8D72-8D3A913B65F9}" scale="80" hiddenRows="1">
      <pane xSplit="6" ySplit="7" topLeftCell="G29" activePane="bottomRight" state="frozen"/>
      <selection pane="bottomRight" activeCell="A8" sqref="A8:XFD12"/>
      <pageMargins left="0.7" right="0.7" top="0.75" bottom="0.75" header="0.3" footer="0.3"/>
      <pageSetup paperSize="9" orientation="portrait" r:id="rId28"/>
    </customSheetView>
  </customSheetViews>
  <mergeCells count="85">
    <mergeCell ref="A106:A107"/>
    <mergeCell ref="B106:B107"/>
    <mergeCell ref="B94:AG94"/>
    <mergeCell ref="A95:A96"/>
    <mergeCell ref="B95:B96"/>
    <mergeCell ref="A97:A98"/>
    <mergeCell ref="B97:B98"/>
    <mergeCell ref="A99:A100"/>
    <mergeCell ref="B99:B100"/>
    <mergeCell ref="B101:AG101"/>
    <mergeCell ref="A102:A103"/>
    <mergeCell ref="B102:B103"/>
    <mergeCell ref="A104:A105"/>
    <mergeCell ref="B104:B105"/>
    <mergeCell ref="A88:A89"/>
    <mergeCell ref="B88:B89"/>
    <mergeCell ref="A90:A91"/>
    <mergeCell ref="B90:B91"/>
    <mergeCell ref="A92:A93"/>
    <mergeCell ref="B92:B93"/>
    <mergeCell ref="A86:A87"/>
    <mergeCell ref="B86:B87"/>
    <mergeCell ref="B65:B66"/>
    <mergeCell ref="A67:A70"/>
    <mergeCell ref="B67:B70"/>
    <mergeCell ref="B71:AG71"/>
    <mergeCell ref="A72:A75"/>
    <mergeCell ref="B72:B75"/>
    <mergeCell ref="B76:B80"/>
    <mergeCell ref="A81:A82"/>
    <mergeCell ref="B81:B82"/>
    <mergeCell ref="A83:A85"/>
    <mergeCell ref="B83:B85"/>
    <mergeCell ref="B63:B64"/>
    <mergeCell ref="A42:A45"/>
    <mergeCell ref="B42:B45"/>
    <mergeCell ref="B46:B47"/>
    <mergeCell ref="B48:B49"/>
    <mergeCell ref="A50:A52"/>
    <mergeCell ref="B50:B52"/>
    <mergeCell ref="B53:B54"/>
    <mergeCell ref="A55:A57"/>
    <mergeCell ref="B55:B57"/>
    <mergeCell ref="A60:A62"/>
    <mergeCell ref="B60:B62"/>
    <mergeCell ref="A30:A32"/>
    <mergeCell ref="B30:B32"/>
    <mergeCell ref="A33:A37"/>
    <mergeCell ref="B33:B37"/>
    <mergeCell ref="A38:A41"/>
    <mergeCell ref="B38:B41"/>
    <mergeCell ref="A19:A22"/>
    <mergeCell ref="B19:B22"/>
    <mergeCell ref="A23:A26"/>
    <mergeCell ref="B23:B26"/>
    <mergeCell ref="A27:A29"/>
    <mergeCell ref="B27:B29"/>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zoomScale="80" zoomScaleNormal="70" workbookViewId="0">
      <pane xSplit="6" ySplit="7" topLeftCell="G8" activePane="bottomRight" state="frozen"/>
      <selection pane="topRight" activeCell="G1" sqref="G1"/>
      <selection pane="bottomLeft" activeCell="A8" sqref="A8"/>
      <selection pane="bottomRight" activeCell="F6" sqref="F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421" customWidth="1"/>
    <col min="6" max="6" width="17.140625" style="8" customWidth="1"/>
    <col min="7" max="7" width="17.85546875" style="407" customWidth="1"/>
    <col min="8" max="8" width="12.140625" style="8" customWidth="1"/>
    <col min="9" max="9" width="10.85546875" style="8" customWidth="1"/>
    <col min="10" max="10" width="14.28515625" style="8" customWidth="1"/>
    <col min="11" max="11" width="13.5703125" style="209" customWidth="1"/>
    <col min="12" max="12" width="13.85546875" style="8" customWidth="1"/>
    <col min="13" max="13" width="13" style="271" customWidth="1"/>
    <col min="14" max="14" width="13.42578125" style="8" customWidth="1"/>
    <col min="15" max="15" width="11.5703125" style="343" customWidth="1"/>
    <col min="16" max="16" width="13.42578125" style="8" customWidth="1"/>
    <col min="17" max="17" width="11.5703125" style="339" customWidth="1"/>
    <col min="18" max="18" width="13" style="8" customWidth="1"/>
    <col min="19" max="19" width="11.5703125" style="334" customWidth="1"/>
    <col min="20" max="20" width="13" style="8" customWidth="1"/>
    <col min="21" max="21" width="11.5703125" style="8" customWidth="1"/>
    <col min="22" max="22" width="14.28515625" style="8" customWidth="1"/>
    <col min="23" max="23" width="11.5703125" style="395" customWidth="1"/>
    <col min="24" max="24" width="13.5703125" style="8" customWidth="1"/>
    <col min="25" max="25" width="11.5703125" style="414" customWidth="1"/>
    <col min="26" max="26" width="13.5703125" style="8" customWidth="1"/>
    <col min="27" max="27" width="11.5703125" style="438" customWidth="1"/>
    <col min="28" max="28" width="13" style="8" customWidth="1"/>
    <col min="29" max="29" width="11.5703125" style="491"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415"/>
      <c r="F1" s="2"/>
      <c r="G1" s="396"/>
      <c r="H1" s="2"/>
      <c r="I1" s="2"/>
      <c r="J1" s="3"/>
      <c r="K1" s="203"/>
      <c r="L1" s="3"/>
      <c r="M1" s="265"/>
      <c r="N1" s="3"/>
      <c r="O1" s="340"/>
      <c r="P1" s="3"/>
      <c r="Q1" s="335"/>
      <c r="R1" s="3"/>
      <c r="S1" s="328"/>
      <c r="T1" s="3"/>
      <c r="U1" s="3"/>
      <c r="V1" s="5"/>
      <c r="W1" s="389"/>
      <c r="X1" s="5"/>
      <c r="Y1" s="408"/>
      <c r="Z1" s="5"/>
      <c r="AA1" s="430"/>
      <c r="AB1" s="5"/>
      <c r="AC1" s="486"/>
      <c r="AD1" s="6"/>
      <c r="AE1" s="6"/>
      <c r="AF1" s="6"/>
      <c r="AG1" s="3"/>
      <c r="AH1" s="7"/>
    </row>
    <row r="2" spans="1:35" ht="15.75" x14ac:dyDescent="0.25">
      <c r="A2" s="145"/>
      <c r="B2" s="145"/>
      <c r="C2" s="639" t="s">
        <v>24</v>
      </c>
      <c r="D2" s="639"/>
      <c r="E2" s="639"/>
      <c r="F2" s="639"/>
      <c r="G2" s="639"/>
      <c r="H2" s="639"/>
      <c r="I2" s="639"/>
      <c r="J2" s="639"/>
      <c r="K2" s="639"/>
      <c r="L2" s="639"/>
      <c r="M2" s="639"/>
      <c r="N2" s="639"/>
      <c r="O2" s="639"/>
      <c r="P2" s="639"/>
      <c r="Q2" s="639"/>
      <c r="R2" s="639"/>
      <c r="S2" s="639"/>
      <c r="T2" s="146"/>
      <c r="U2" s="146"/>
      <c r="V2" s="146"/>
      <c r="W2" s="390"/>
      <c r="X2" s="146"/>
      <c r="Y2" s="409"/>
      <c r="Z2" s="146"/>
      <c r="AA2" s="431"/>
      <c r="AB2" s="146"/>
      <c r="AC2" s="487"/>
      <c r="AD2" s="146"/>
      <c r="AE2" s="146"/>
      <c r="AF2" s="146"/>
      <c r="AG2" s="146"/>
      <c r="AH2" s="146"/>
    </row>
    <row r="3" spans="1:35" ht="36.75" customHeight="1" x14ac:dyDescent="0.25">
      <c r="A3" s="145"/>
      <c r="B3" s="145"/>
      <c r="C3" s="640" t="s">
        <v>216</v>
      </c>
      <c r="D3" s="640"/>
      <c r="E3" s="640"/>
      <c r="F3" s="640"/>
      <c r="G3" s="640"/>
      <c r="H3" s="640"/>
      <c r="I3" s="640"/>
      <c r="J3" s="640"/>
      <c r="K3" s="640"/>
      <c r="L3" s="640"/>
      <c r="M3" s="640"/>
      <c r="N3" s="640"/>
      <c r="O3" s="640"/>
      <c r="P3" s="640"/>
      <c r="Q3" s="640"/>
      <c r="R3" s="640"/>
      <c r="S3" s="640"/>
      <c r="T3" s="147"/>
      <c r="U3" s="147"/>
      <c r="V3" s="147"/>
      <c r="W3" s="391"/>
      <c r="X3" s="147"/>
      <c r="Y3" s="410"/>
      <c r="Z3" s="147"/>
      <c r="AA3" s="432"/>
      <c r="AB3" s="147"/>
      <c r="AC3" s="488"/>
      <c r="AD3" s="148"/>
      <c r="AE3" s="148"/>
      <c r="AF3" s="148"/>
      <c r="AG3" s="148" t="s">
        <v>0</v>
      </c>
      <c r="AH3" s="148"/>
    </row>
    <row r="4" spans="1:35" s="10" customFormat="1" ht="15" customHeight="1" x14ac:dyDescent="0.25">
      <c r="A4" s="641" t="s">
        <v>26</v>
      </c>
      <c r="B4" s="644" t="s">
        <v>29</v>
      </c>
      <c r="C4" s="644" t="s">
        <v>30</v>
      </c>
      <c r="D4" s="523" t="s">
        <v>1</v>
      </c>
      <c r="E4" s="647" t="s">
        <v>1</v>
      </c>
      <c r="F4" s="523" t="s">
        <v>2</v>
      </c>
      <c r="G4" s="649" t="s">
        <v>3</v>
      </c>
      <c r="H4" s="635" t="s">
        <v>4</v>
      </c>
      <c r="I4" s="636"/>
      <c r="J4" s="635" t="s">
        <v>5</v>
      </c>
      <c r="K4" s="636"/>
      <c r="L4" s="635" t="s">
        <v>6</v>
      </c>
      <c r="M4" s="636"/>
      <c r="N4" s="635" t="s">
        <v>7</v>
      </c>
      <c r="O4" s="636"/>
      <c r="P4" s="635" t="s">
        <v>8</v>
      </c>
      <c r="Q4" s="636"/>
      <c r="R4" s="635" t="s">
        <v>9</v>
      </c>
      <c r="S4" s="636"/>
      <c r="T4" s="635" t="s">
        <v>10</v>
      </c>
      <c r="U4" s="636"/>
      <c r="V4" s="635" t="s">
        <v>11</v>
      </c>
      <c r="W4" s="636"/>
      <c r="X4" s="635" t="s">
        <v>12</v>
      </c>
      <c r="Y4" s="636"/>
      <c r="Z4" s="635" t="s">
        <v>13</v>
      </c>
      <c r="AA4" s="636"/>
      <c r="AB4" s="635" t="s">
        <v>14</v>
      </c>
      <c r="AC4" s="636"/>
      <c r="AD4" s="635" t="s">
        <v>15</v>
      </c>
      <c r="AE4" s="636"/>
      <c r="AF4" s="635" t="s">
        <v>16</v>
      </c>
      <c r="AG4" s="636"/>
      <c r="AH4" s="533" t="s">
        <v>17</v>
      </c>
    </row>
    <row r="5" spans="1:35" s="10" customFormat="1" ht="39" customHeight="1" x14ac:dyDescent="0.25">
      <c r="A5" s="642"/>
      <c r="B5" s="645"/>
      <c r="C5" s="645"/>
      <c r="D5" s="524"/>
      <c r="E5" s="648"/>
      <c r="F5" s="524"/>
      <c r="G5" s="650"/>
      <c r="H5" s="637"/>
      <c r="I5" s="638"/>
      <c r="J5" s="637"/>
      <c r="K5" s="638"/>
      <c r="L5" s="637"/>
      <c r="M5" s="638"/>
      <c r="N5" s="637"/>
      <c r="O5" s="638"/>
      <c r="P5" s="637"/>
      <c r="Q5" s="638"/>
      <c r="R5" s="637"/>
      <c r="S5" s="638"/>
      <c r="T5" s="637"/>
      <c r="U5" s="638"/>
      <c r="V5" s="637"/>
      <c r="W5" s="638"/>
      <c r="X5" s="637"/>
      <c r="Y5" s="638"/>
      <c r="Z5" s="637"/>
      <c r="AA5" s="638"/>
      <c r="AB5" s="637"/>
      <c r="AC5" s="638"/>
      <c r="AD5" s="637"/>
      <c r="AE5" s="638"/>
      <c r="AF5" s="637"/>
      <c r="AG5" s="638"/>
      <c r="AH5" s="534"/>
    </row>
    <row r="6" spans="1:35" s="10" customFormat="1" ht="64.5" customHeight="1" x14ac:dyDescent="0.25">
      <c r="A6" s="643"/>
      <c r="B6" s="646"/>
      <c r="C6" s="646"/>
      <c r="D6" s="121">
        <v>2025</v>
      </c>
      <c r="E6" s="416">
        <v>45962</v>
      </c>
      <c r="F6" s="344">
        <v>45962</v>
      </c>
      <c r="G6" s="388">
        <v>45931</v>
      </c>
      <c r="H6" s="149" t="s">
        <v>27</v>
      </c>
      <c r="I6" s="149" t="s">
        <v>28</v>
      </c>
      <c r="J6" s="149" t="s">
        <v>18</v>
      </c>
      <c r="K6" s="204" t="s">
        <v>19</v>
      </c>
      <c r="L6" s="149" t="s">
        <v>18</v>
      </c>
      <c r="M6" s="266" t="s">
        <v>19</v>
      </c>
      <c r="N6" s="149" t="s">
        <v>18</v>
      </c>
      <c r="O6" s="341" t="s">
        <v>19</v>
      </c>
      <c r="P6" s="149" t="s">
        <v>18</v>
      </c>
      <c r="Q6" s="336" t="s">
        <v>19</v>
      </c>
      <c r="R6" s="149" t="s">
        <v>18</v>
      </c>
      <c r="S6" s="329" t="s">
        <v>19</v>
      </c>
      <c r="T6" s="149" t="s">
        <v>18</v>
      </c>
      <c r="U6" s="149" t="s">
        <v>19</v>
      </c>
      <c r="V6" s="149" t="s">
        <v>18</v>
      </c>
      <c r="W6" s="392" t="s">
        <v>19</v>
      </c>
      <c r="X6" s="149" t="s">
        <v>18</v>
      </c>
      <c r="Y6" s="411" t="s">
        <v>19</v>
      </c>
      <c r="Z6" s="149" t="s">
        <v>18</v>
      </c>
      <c r="AA6" s="433" t="s">
        <v>19</v>
      </c>
      <c r="AB6" s="149" t="s">
        <v>18</v>
      </c>
      <c r="AC6" s="489" t="s">
        <v>19</v>
      </c>
      <c r="AD6" s="149" t="s">
        <v>18</v>
      </c>
      <c r="AE6" s="149" t="s">
        <v>19</v>
      </c>
      <c r="AF6" s="149" t="s">
        <v>18</v>
      </c>
      <c r="AG6" s="149" t="s">
        <v>19</v>
      </c>
      <c r="AH6" s="535"/>
    </row>
    <row r="7" spans="1:35" s="10" customFormat="1" ht="15.75" x14ac:dyDescent="0.25">
      <c r="A7" s="40">
        <v>1</v>
      </c>
      <c r="B7" s="40">
        <v>2</v>
      </c>
      <c r="C7" s="40">
        <v>3</v>
      </c>
      <c r="D7" s="40">
        <v>4</v>
      </c>
      <c r="E7" s="417">
        <v>5</v>
      </c>
      <c r="F7" s="40">
        <v>6</v>
      </c>
      <c r="G7" s="397">
        <v>7</v>
      </c>
      <c r="H7" s="40">
        <v>8</v>
      </c>
      <c r="I7" s="40">
        <v>9</v>
      </c>
      <c r="J7" s="40">
        <v>10</v>
      </c>
      <c r="K7" s="205">
        <v>11</v>
      </c>
      <c r="L7" s="40">
        <v>12</v>
      </c>
      <c r="M7" s="267">
        <v>13</v>
      </c>
      <c r="N7" s="40">
        <v>14</v>
      </c>
      <c r="O7" s="342">
        <v>15</v>
      </c>
      <c r="P7" s="40">
        <v>16</v>
      </c>
      <c r="Q7" s="337">
        <v>17</v>
      </c>
      <c r="R7" s="40">
        <v>18</v>
      </c>
      <c r="S7" s="330">
        <v>19</v>
      </c>
      <c r="T7" s="40">
        <v>20</v>
      </c>
      <c r="U7" s="40">
        <v>21</v>
      </c>
      <c r="V7" s="40">
        <v>22</v>
      </c>
      <c r="W7" s="393">
        <v>23</v>
      </c>
      <c r="X7" s="40">
        <v>24</v>
      </c>
      <c r="Y7" s="412">
        <v>25</v>
      </c>
      <c r="Z7" s="40">
        <v>26</v>
      </c>
      <c r="AA7" s="434">
        <v>27</v>
      </c>
      <c r="AB7" s="40">
        <v>28</v>
      </c>
      <c r="AC7" s="490">
        <v>29</v>
      </c>
      <c r="AD7" s="40">
        <v>30</v>
      </c>
      <c r="AE7" s="40">
        <v>31</v>
      </c>
      <c r="AF7" s="40">
        <v>32</v>
      </c>
      <c r="AG7" s="40">
        <v>33</v>
      </c>
      <c r="AH7" s="40">
        <v>34</v>
      </c>
    </row>
    <row r="8" spans="1:35" s="21" customFormat="1" ht="31.5" customHeight="1" x14ac:dyDescent="0.25">
      <c r="A8" s="530"/>
      <c r="B8" s="533" t="s">
        <v>23</v>
      </c>
      <c r="C8" s="69" t="s">
        <v>20</v>
      </c>
      <c r="D8" s="70">
        <f>D9+D10+D11</f>
        <v>31437.379300000001</v>
      </c>
      <c r="E8" s="418">
        <f>E9+E10+E11</f>
        <v>25452.470300000001</v>
      </c>
      <c r="F8" s="70">
        <f>F9+F10+F11</f>
        <v>24146.860999999997</v>
      </c>
      <c r="G8" s="165">
        <f>G9+G10+G11</f>
        <v>24146.860999999997</v>
      </c>
      <c r="H8" s="70">
        <f>IFERROR(G8/D8*100,0)</f>
        <v>76.809395495635329</v>
      </c>
      <c r="I8" s="70">
        <f>IFERROR(G8/E8*100,0)</f>
        <v>94.870402422196307</v>
      </c>
      <c r="J8" s="71">
        <f t="shared" ref="J8:AF8" si="0">J9+J10+J11</f>
        <v>3176.6419999999998</v>
      </c>
      <c r="K8" s="206">
        <f t="shared" si="0"/>
        <v>1905.587</v>
      </c>
      <c r="L8" s="71">
        <f t="shared" si="0"/>
        <v>2926.279</v>
      </c>
      <c r="M8" s="268">
        <f t="shared" si="0"/>
        <v>3911.8990000000003</v>
      </c>
      <c r="N8" s="71">
        <f t="shared" si="0"/>
        <v>2040.452</v>
      </c>
      <c r="O8" s="83">
        <f t="shared" si="0"/>
        <v>1628.4370000000001</v>
      </c>
      <c r="P8" s="71">
        <f t="shared" si="0"/>
        <v>2920.9303</v>
      </c>
      <c r="Q8" s="221">
        <f t="shared" si="0"/>
        <v>2160.1549999999997</v>
      </c>
      <c r="R8" s="71">
        <f t="shared" si="0"/>
        <v>2459.6239999999998</v>
      </c>
      <c r="S8" s="331">
        <f t="shared" si="0"/>
        <v>2012.037</v>
      </c>
      <c r="T8" s="71">
        <f t="shared" si="0"/>
        <v>2130.902</v>
      </c>
      <c r="U8" s="71">
        <f t="shared" si="0"/>
        <v>2990.71</v>
      </c>
      <c r="V8" s="71">
        <f t="shared" si="0"/>
        <v>2978.2</v>
      </c>
      <c r="W8" s="238">
        <f t="shared" si="0"/>
        <v>2718.4050000000002</v>
      </c>
      <c r="X8" s="71">
        <f t="shared" si="0"/>
        <v>2314.9589999999998</v>
      </c>
      <c r="Y8" s="277">
        <f t="shared" si="0"/>
        <v>1764.7130000000002</v>
      </c>
      <c r="Z8" s="71">
        <f t="shared" si="0"/>
        <v>1996.318</v>
      </c>
      <c r="AA8" s="435">
        <f t="shared" si="0"/>
        <v>2233.3999999999996</v>
      </c>
      <c r="AB8" s="71">
        <f t="shared" si="0"/>
        <v>2508.1639999999998</v>
      </c>
      <c r="AC8" s="185">
        <f t="shared" si="0"/>
        <v>2821.518</v>
      </c>
      <c r="AD8" s="71">
        <f t="shared" si="0"/>
        <v>1944.9170000000001</v>
      </c>
      <c r="AE8" s="71">
        <f t="shared" si="0"/>
        <v>0</v>
      </c>
      <c r="AF8" s="71">
        <f t="shared" si="0"/>
        <v>4039.9919999999993</v>
      </c>
      <c r="AG8" s="71">
        <f>AG9+AG10+AG11</f>
        <v>0</v>
      </c>
      <c r="AH8" s="72"/>
    </row>
    <row r="9" spans="1:35" s="21" customFormat="1" ht="31.5" customHeight="1" x14ac:dyDescent="0.25">
      <c r="A9" s="531"/>
      <c r="B9" s="534"/>
      <c r="C9" s="124" t="s">
        <v>52</v>
      </c>
      <c r="D9" s="70">
        <f>SUM(J9,L9,N9,P9,R9,T9,V9,X9,Z9,AB9,AD9,AF9)</f>
        <v>4.5999999999999996</v>
      </c>
      <c r="E9" s="418">
        <f>J9+P9+N9+L9+R9+T9+V9+X9+Z9+AB9</f>
        <v>4.5999999999999996</v>
      </c>
      <c r="F9" s="70">
        <f>G9</f>
        <v>4.59</v>
      </c>
      <c r="G9" s="165">
        <f>SUM(K9,M9,O9,Q9,S9,U9,W9,Y9,AA9,AC9,AE9,AG9)</f>
        <v>4.59</v>
      </c>
      <c r="H9" s="70">
        <f>IFERROR(G9/D9*100,0)</f>
        <v>99.782608695652172</v>
      </c>
      <c r="I9" s="70">
        <f>IFERROR(G9/E9*100,0)</f>
        <v>99.782608695652172</v>
      </c>
      <c r="J9" s="71">
        <f t="shared" ref="J9:AF9" si="1">J22</f>
        <v>0</v>
      </c>
      <c r="K9" s="206">
        <f t="shared" si="1"/>
        <v>0</v>
      </c>
      <c r="L9" s="71">
        <f t="shared" si="1"/>
        <v>0</v>
      </c>
      <c r="M9" s="268">
        <f t="shared" si="1"/>
        <v>0</v>
      </c>
      <c r="N9" s="71">
        <f t="shared" si="1"/>
        <v>0</v>
      </c>
      <c r="O9" s="83">
        <f t="shared" si="1"/>
        <v>0</v>
      </c>
      <c r="P9" s="71">
        <f t="shared" si="1"/>
        <v>1.8</v>
      </c>
      <c r="Q9" s="221">
        <f t="shared" si="1"/>
        <v>1.8</v>
      </c>
      <c r="R9" s="71">
        <f t="shared" si="1"/>
        <v>0</v>
      </c>
      <c r="S9" s="331">
        <f t="shared" si="1"/>
        <v>0</v>
      </c>
      <c r="T9" s="71">
        <f t="shared" si="1"/>
        <v>0</v>
      </c>
      <c r="U9" s="71">
        <f t="shared" si="1"/>
        <v>0</v>
      </c>
      <c r="V9" s="71">
        <f t="shared" si="1"/>
        <v>0</v>
      </c>
      <c r="W9" s="238">
        <f t="shared" si="1"/>
        <v>0</v>
      </c>
      <c r="X9" s="71">
        <f t="shared" si="1"/>
        <v>0</v>
      </c>
      <c r="Y9" s="277">
        <f t="shared" si="1"/>
        <v>0</v>
      </c>
      <c r="Z9" s="71">
        <f t="shared" si="1"/>
        <v>0</v>
      </c>
      <c r="AA9" s="435">
        <f t="shared" si="1"/>
        <v>0</v>
      </c>
      <c r="AB9" s="71">
        <f t="shared" si="1"/>
        <v>2.8</v>
      </c>
      <c r="AC9" s="185">
        <f t="shared" si="1"/>
        <v>2.79</v>
      </c>
      <c r="AD9" s="71">
        <f t="shared" si="1"/>
        <v>0</v>
      </c>
      <c r="AE9" s="71">
        <f t="shared" si="1"/>
        <v>0</v>
      </c>
      <c r="AF9" s="71">
        <f t="shared" si="1"/>
        <v>0</v>
      </c>
      <c r="AG9" s="71">
        <f>AG22</f>
        <v>0</v>
      </c>
      <c r="AH9" s="72"/>
    </row>
    <row r="10" spans="1:35" s="21" customFormat="1" ht="31.5" customHeight="1" x14ac:dyDescent="0.25">
      <c r="A10" s="531"/>
      <c r="B10" s="534"/>
      <c r="C10" s="73" t="s">
        <v>22</v>
      </c>
      <c r="D10" s="70">
        <f>SUM(J10,L10,N10,P10,R10,T10,V10,X10,Z10,AB10,AD10,AF10)</f>
        <v>12820.499</v>
      </c>
      <c r="E10" s="418">
        <f>J10+L10+N10+P10+R10+T10+V10+X10+Z10+AB10</f>
        <v>10654.508</v>
      </c>
      <c r="F10" s="70">
        <f>G10</f>
        <v>9553.402</v>
      </c>
      <c r="G10" s="165">
        <f>SUM(K10,M10,O10,Q10,S10,U10,W10,Y10,AA10,AC10,AE10,AG10)</f>
        <v>9553.402</v>
      </c>
      <c r="H10" s="70">
        <f>IFERROR(G10/D10*100,0)</f>
        <v>74.516615928911975</v>
      </c>
      <c r="I10" s="70">
        <f>IFERROR(G10/E10*100,0)</f>
        <v>89.665351042019026</v>
      </c>
      <c r="J10" s="71">
        <f>J14+J19+J35</f>
        <v>1383.2259999999999</v>
      </c>
      <c r="K10" s="206">
        <f>K14+K19+K35</f>
        <v>757.19600000000003</v>
      </c>
      <c r="L10" s="71">
        <f t="shared" ref="L10:AF10" si="2">L14+L19+L35</f>
        <v>1010.528</v>
      </c>
      <c r="M10" s="268">
        <f t="shared" si="2"/>
        <v>1181.345</v>
      </c>
      <c r="N10" s="71">
        <f t="shared" si="2"/>
        <v>898.98299999999995</v>
      </c>
      <c r="O10" s="83">
        <f t="shared" si="2"/>
        <v>494.72199999999998</v>
      </c>
      <c r="P10" s="71">
        <f t="shared" si="2"/>
        <v>1372.7380000000001</v>
      </c>
      <c r="Q10" s="221">
        <f>Q14+Q19+Q35</f>
        <v>794.66199999999992</v>
      </c>
      <c r="R10" s="71">
        <f t="shared" si="2"/>
        <v>888.96100000000001</v>
      </c>
      <c r="S10" s="331">
        <f t="shared" si="2"/>
        <v>1000.4300000000001</v>
      </c>
      <c r="T10" s="71">
        <f t="shared" si="2"/>
        <v>952.7170000000001</v>
      </c>
      <c r="U10" s="71">
        <f t="shared" si="2"/>
        <v>1345.46</v>
      </c>
      <c r="V10" s="71">
        <f t="shared" si="2"/>
        <v>1430.952</v>
      </c>
      <c r="W10" s="238">
        <f t="shared" si="2"/>
        <v>1218.701</v>
      </c>
      <c r="X10" s="71">
        <f t="shared" si="2"/>
        <v>971.00700000000006</v>
      </c>
      <c r="Y10" s="277">
        <f t="shared" si="2"/>
        <v>627.68899999999996</v>
      </c>
      <c r="Z10" s="71">
        <f t="shared" si="2"/>
        <v>817.31</v>
      </c>
      <c r="AA10" s="435">
        <f t="shared" si="2"/>
        <v>827.51</v>
      </c>
      <c r="AB10" s="71">
        <f t="shared" si="2"/>
        <v>928.08600000000001</v>
      </c>
      <c r="AC10" s="185">
        <f t="shared" si="2"/>
        <v>1305.6869999999999</v>
      </c>
      <c r="AD10" s="71">
        <f t="shared" si="2"/>
        <v>781.66000000000008</v>
      </c>
      <c r="AE10" s="71">
        <f t="shared" si="2"/>
        <v>0</v>
      </c>
      <c r="AF10" s="71">
        <f t="shared" si="2"/>
        <v>1384.3309999999999</v>
      </c>
      <c r="AG10" s="71">
        <f>AG14+AG19+AG35</f>
        <v>0</v>
      </c>
      <c r="AH10" s="72"/>
    </row>
    <row r="11" spans="1:35" s="22" customFormat="1" ht="38.25" customHeight="1" x14ac:dyDescent="0.25">
      <c r="A11" s="531"/>
      <c r="B11" s="534"/>
      <c r="C11" s="73" t="s">
        <v>21</v>
      </c>
      <c r="D11" s="70">
        <f>SUM(J11,L11,N11,P11,R11,T11,V11,X11,Z11,AB11,AD11,AF11)</f>
        <v>18612.280299999999</v>
      </c>
      <c r="E11" s="418">
        <f>J11+L11+N11+P11+R11+T11+V11+X11+Z11+AB11</f>
        <v>14793.362299999999</v>
      </c>
      <c r="F11" s="70">
        <f>G11</f>
        <v>14588.868999999999</v>
      </c>
      <c r="G11" s="165">
        <f>SUM(K11,M11,O11,Q11,S11,U11,W11,Y11,AA11,AC11,AE11,AG11)</f>
        <v>14588.868999999999</v>
      </c>
      <c r="H11" s="70">
        <f>IFERROR(G11/D11*100,0)</f>
        <v>78.38302865017566</v>
      </c>
      <c r="I11" s="70">
        <f>IFERROR(G11/E11*100,0)</f>
        <v>98.617668547197013</v>
      </c>
      <c r="J11" s="70">
        <f>J15+J17+J20+J24+26+J29+J31+J33+J38</f>
        <v>1793.4160000000002</v>
      </c>
      <c r="K11" s="207">
        <f>K15+K17+K20+K24+K26+K29+K31+K33+K38</f>
        <v>1148.3910000000001</v>
      </c>
      <c r="L11" s="70">
        <f>L15+L17+L20+L24+L26+L29+L31+L33+L38</f>
        <v>1915.751</v>
      </c>
      <c r="M11" s="269">
        <f>M15+M17+M20+M24+M26+M29+M31+M33+M38</f>
        <v>2730.5540000000001</v>
      </c>
      <c r="N11" s="70">
        <f t="shared" ref="N11:AE11" si="3">N15+N17+N20+N24+N26+N29+N31+N33+N38</f>
        <v>1141.4690000000001</v>
      </c>
      <c r="O11" s="82">
        <f>O15+O17+O20+O24+O26+O29+O31+O33+O38</f>
        <v>1133.7150000000001</v>
      </c>
      <c r="P11" s="70">
        <f t="shared" si="3"/>
        <v>1546.3922999999998</v>
      </c>
      <c r="Q11" s="220">
        <f>Q15+Q17+Q20+Q24+Q26+Q29+Q31+Q33+Q38</f>
        <v>1363.693</v>
      </c>
      <c r="R11" s="70">
        <f>R15+R17+R20+R24+R26+R29+R31+R33+R38</f>
        <v>1570.663</v>
      </c>
      <c r="S11" s="332">
        <f>S15+S17+S20+S24+S26+S29+S31+S33+S38</f>
        <v>1011.607</v>
      </c>
      <c r="T11" s="70">
        <f t="shared" si="3"/>
        <v>1178.1849999999999</v>
      </c>
      <c r="U11" s="70">
        <f t="shared" si="3"/>
        <v>1645.25</v>
      </c>
      <c r="V11" s="70">
        <f t="shared" si="3"/>
        <v>1547.248</v>
      </c>
      <c r="W11" s="237">
        <f t="shared" si="3"/>
        <v>1499.7040000000002</v>
      </c>
      <c r="X11" s="70">
        <f t="shared" si="3"/>
        <v>1343.952</v>
      </c>
      <c r="Y11" s="276">
        <f t="shared" si="3"/>
        <v>1137.0240000000001</v>
      </c>
      <c r="Z11" s="70">
        <f t="shared" si="3"/>
        <v>1179.008</v>
      </c>
      <c r="AA11" s="436">
        <f>AA15+AA17+AA20+AA24+AA26+AA29+AA31+AA33+AA38</f>
        <v>1405.8899999999999</v>
      </c>
      <c r="AB11" s="70">
        <f t="shared" si="3"/>
        <v>1577.278</v>
      </c>
      <c r="AC11" s="184">
        <f t="shared" si="3"/>
        <v>1513.0410000000002</v>
      </c>
      <c r="AD11" s="70">
        <f t="shared" si="3"/>
        <v>1163.2570000000001</v>
      </c>
      <c r="AE11" s="70">
        <f t="shared" si="3"/>
        <v>0</v>
      </c>
      <c r="AF11" s="70">
        <f>AF15+AF17+AF20+AF24+AF26+AF29+AF31+AF33+AF38</f>
        <v>2655.6609999999996</v>
      </c>
      <c r="AG11" s="70">
        <f>AG15+AG17+AG20+AG24+AG26+AG29+AG31+AG33+AG38</f>
        <v>0</v>
      </c>
      <c r="AH11" s="75"/>
    </row>
    <row r="12" spans="1:35" s="22" customFormat="1" ht="18.75" customHeight="1" x14ac:dyDescent="0.25">
      <c r="A12" s="132" t="s">
        <v>151</v>
      </c>
      <c r="B12" s="596" t="s">
        <v>217</v>
      </c>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8"/>
      <c r="AH12" s="75"/>
    </row>
    <row r="13" spans="1:35" s="216" customFormat="1" ht="218.25" customHeight="1" x14ac:dyDescent="0.25">
      <c r="A13" s="530" t="s">
        <v>152</v>
      </c>
      <c r="B13" s="578" t="s">
        <v>218</v>
      </c>
      <c r="C13" s="213" t="s">
        <v>20</v>
      </c>
      <c r="D13" s="214">
        <f>D14+D15</f>
        <v>645.1</v>
      </c>
      <c r="E13" s="419">
        <f>E14+E15</f>
        <v>486.07500000000005</v>
      </c>
      <c r="F13" s="214">
        <f t="shared" ref="F13:AF13" si="4">F14+F15</f>
        <v>392.774</v>
      </c>
      <c r="G13" s="398">
        <f>G14+G15</f>
        <v>392.774</v>
      </c>
      <c r="H13" s="214">
        <f t="shared" ref="H13:H26" si="5">IFERROR(G13/D13*100,0)</f>
        <v>60.885754146643933</v>
      </c>
      <c r="I13" s="214">
        <f t="shared" ref="I13:I26" si="6">IFERROR(G13/E13*100,0)</f>
        <v>80.80522553103944</v>
      </c>
      <c r="J13" s="214">
        <f t="shared" si="4"/>
        <v>0</v>
      </c>
      <c r="K13" s="214">
        <f t="shared" si="4"/>
        <v>0</v>
      </c>
      <c r="L13" s="214">
        <f t="shared" si="4"/>
        <v>0</v>
      </c>
      <c r="M13" s="268">
        <f t="shared" si="4"/>
        <v>0</v>
      </c>
      <c r="N13" s="214">
        <f t="shared" si="4"/>
        <v>7</v>
      </c>
      <c r="O13" s="83">
        <f t="shared" si="4"/>
        <v>0</v>
      </c>
      <c r="P13" s="214">
        <f t="shared" si="4"/>
        <v>159.02500000000001</v>
      </c>
      <c r="Q13" s="221">
        <f t="shared" si="4"/>
        <v>104.75999999999999</v>
      </c>
      <c r="R13" s="214">
        <f t="shared" si="4"/>
        <v>0</v>
      </c>
      <c r="S13" s="331">
        <f t="shared" si="4"/>
        <v>0</v>
      </c>
      <c r="T13" s="214">
        <f t="shared" si="4"/>
        <v>0</v>
      </c>
      <c r="U13" s="214">
        <f t="shared" si="4"/>
        <v>6.25</v>
      </c>
      <c r="V13" s="214">
        <f t="shared" si="4"/>
        <v>159.02500000000001</v>
      </c>
      <c r="W13" s="238">
        <f t="shared" si="4"/>
        <v>153.60400000000001</v>
      </c>
      <c r="X13" s="214">
        <f t="shared" si="4"/>
        <v>0</v>
      </c>
      <c r="Y13" s="277">
        <f t="shared" si="4"/>
        <v>0</v>
      </c>
      <c r="Z13" s="214">
        <f t="shared" si="4"/>
        <v>0</v>
      </c>
      <c r="AA13" s="435">
        <f t="shared" si="4"/>
        <v>0</v>
      </c>
      <c r="AB13" s="214">
        <f t="shared" si="4"/>
        <v>161.02500000000001</v>
      </c>
      <c r="AC13" s="185">
        <f t="shared" si="4"/>
        <v>128.16</v>
      </c>
      <c r="AD13" s="214">
        <f t="shared" si="4"/>
        <v>0</v>
      </c>
      <c r="AE13" s="214">
        <f t="shared" si="4"/>
        <v>0</v>
      </c>
      <c r="AF13" s="214">
        <f t="shared" si="4"/>
        <v>159.02500000000001</v>
      </c>
      <c r="AG13" s="214">
        <f>AG14+AG15</f>
        <v>0</v>
      </c>
      <c r="AH13" s="355" t="s">
        <v>427</v>
      </c>
      <c r="AI13" s="215"/>
    </row>
    <row r="14" spans="1:35" s="21" customFormat="1" ht="73.5" customHeight="1" x14ac:dyDescent="0.25">
      <c r="A14" s="531"/>
      <c r="B14" s="599"/>
      <c r="C14" s="73" t="s">
        <v>22</v>
      </c>
      <c r="D14" s="74">
        <f>SUM(J14,L14,N14,P14,R14,T14,V14,X14,Z14,AB14,AD14,AF14)</f>
        <v>147.4</v>
      </c>
      <c r="E14" s="420">
        <f>J14+L14+N14+P14+R14+T14+V14+X14+Z14+AB14+AD14</f>
        <v>110.55000000000001</v>
      </c>
      <c r="F14" s="74">
        <f>G14</f>
        <v>110.55000000000001</v>
      </c>
      <c r="G14" s="171">
        <f>SUM(K14,M14,O14,Q14,S14,U14,W14,Y14,AA14,AC14,AE14,AG14)</f>
        <v>110.55000000000001</v>
      </c>
      <c r="H14" s="74">
        <f t="shared" si="5"/>
        <v>75</v>
      </c>
      <c r="I14" s="74">
        <f t="shared" si="6"/>
        <v>100</v>
      </c>
      <c r="J14" s="67">
        <v>0</v>
      </c>
      <c r="K14" s="208">
        <v>0</v>
      </c>
      <c r="L14" s="67">
        <v>0</v>
      </c>
      <c r="M14" s="270">
        <v>0</v>
      </c>
      <c r="N14" s="67">
        <v>0</v>
      </c>
      <c r="O14" s="86">
        <v>0</v>
      </c>
      <c r="P14" s="67">
        <v>36.85</v>
      </c>
      <c r="Q14" s="338">
        <v>36.85</v>
      </c>
      <c r="R14" s="67">
        <v>0</v>
      </c>
      <c r="S14" s="333">
        <v>0</v>
      </c>
      <c r="T14" s="67">
        <v>0</v>
      </c>
      <c r="U14" s="67">
        <v>0</v>
      </c>
      <c r="V14" s="71">
        <v>36.85</v>
      </c>
      <c r="W14" s="394">
        <v>36.85</v>
      </c>
      <c r="X14" s="67">
        <v>0</v>
      </c>
      <c r="Y14" s="413">
        <v>0</v>
      </c>
      <c r="Z14" s="67">
        <v>0</v>
      </c>
      <c r="AA14" s="437">
        <v>0</v>
      </c>
      <c r="AB14" s="67">
        <v>36.85</v>
      </c>
      <c r="AC14" s="193">
        <v>36.85</v>
      </c>
      <c r="AD14" s="67">
        <v>0</v>
      </c>
      <c r="AE14" s="67">
        <v>0</v>
      </c>
      <c r="AF14" s="67">
        <v>36.85</v>
      </c>
      <c r="AG14" s="67">
        <v>0</v>
      </c>
      <c r="AH14" s="72"/>
      <c r="AI14" s="23"/>
    </row>
    <row r="15" spans="1:35" s="21" customFormat="1" ht="29.25" customHeight="1" x14ac:dyDescent="0.25">
      <c r="A15" s="604"/>
      <c r="B15" s="634"/>
      <c r="C15" s="73" t="s">
        <v>21</v>
      </c>
      <c r="D15" s="74">
        <f>SUM(J15,L15,N15,P15,R15,T15,V15,X15,Z15,AB15,AD15,AF15)</f>
        <v>497.70000000000005</v>
      </c>
      <c r="E15" s="420">
        <f>J15+L15+N15+P15+R15+T15+V15+X15+Z15+AB15+AD15</f>
        <v>375.52500000000003</v>
      </c>
      <c r="F15" s="74">
        <f>G15</f>
        <v>282.22399999999999</v>
      </c>
      <c r="G15" s="171">
        <f>SUM(K15,M15,O15,Q15,S15,U15,W15,Y15,AA15,AC15,AE15,AG15)</f>
        <v>282.22399999999999</v>
      </c>
      <c r="H15" s="74">
        <f t="shared" si="5"/>
        <v>56.705645971468755</v>
      </c>
      <c r="I15" s="74">
        <f t="shared" si="6"/>
        <v>75.154517009519992</v>
      </c>
      <c r="J15" s="67">
        <v>0</v>
      </c>
      <c r="K15" s="208">
        <v>0</v>
      </c>
      <c r="L15" s="67">
        <v>0</v>
      </c>
      <c r="M15" s="270">
        <v>0</v>
      </c>
      <c r="N15" s="67">
        <v>7</v>
      </c>
      <c r="O15" s="86">
        <v>0</v>
      </c>
      <c r="P15" s="67">
        <v>122.175</v>
      </c>
      <c r="Q15" s="338">
        <v>67.91</v>
      </c>
      <c r="R15" s="67">
        <v>0</v>
      </c>
      <c r="S15" s="333">
        <v>0</v>
      </c>
      <c r="T15" s="67">
        <v>0</v>
      </c>
      <c r="U15" s="67">
        <v>6.25</v>
      </c>
      <c r="V15" s="71">
        <v>122.175</v>
      </c>
      <c r="W15" s="394">
        <v>116.754</v>
      </c>
      <c r="X15" s="67">
        <v>0</v>
      </c>
      <c r="Y15" s="413">
        <v>0</v>
      </c>
      <c r="Z15" s="67">
        <v>0</v>
      </c>
      <c r="AA15" s="437">
        <v>0</v>
      </c>
      <c r="AB15" s="67">
        <v>124.175</v>
      </c>
      <c r="AC15" s="193">
        <v>91.31</v>
      </c>
      <c r="AD15" s="67">
        <v>0</v>
      </c>
      <c r="AE15" s="67">
        <v>0</v>
      </c>
      <c r="AF15" s="67">
        <v>122.175</v>
      </c>
      <c r="AG15" s="67">
        <v>0</v>
      </c>
      <c r="AH15" s="72"/>
      <c r="AI15" s="23"/>
    </row>
    <row r="16" spans="1:35" s="212" customFormat="1" ht="82.5" customHeight="1" x14ac:dyDescent="0.25">
      <c r="A16" s="530" t="s">
        <v>219</v>
      </c>
      <c r="B16" s="578" t="s">
        <v>220</v>
      </c>
      <c r="C16" s="210" t="s">
        <v>20</v>
      </c>
      <c r="D16" s="217">
        <f>D17</f>
        <v>9985.8989999999994</v>
      </c>
      <c r="E16" s="418">
        <f>E17</f>
        <v>7340.5679999999993</v>
      </c>
      <c r="F16" s="217">
        <f>F17</f>
        <v>7040.5379999999996</v>
      </c>
      <c r="G16" s="399">
        <f>G17</f>
        <v>7040.5379999999996</v>
      </c>
      <c r="H16" s="217">
        <f t="shared" si="5"/>
        <v>70.504798816811586</v>
      </c>
      <c r="I16" s="217">
        <f t="shared" si="6"/>
        <v>95.912714111496555</v>
      </c>
      <c r="J16" s="211">
        <f t="shared" ref="J16:AG16" si="7">J17</f>
        <v>829.63499999999999</v>
      </c>
      <c r="K16" s="211">
        <f t="shared" si="7"/>
        <v>645.41700000000003</v>
      </c>
      <c r="L16" s="211">
        <f t="shared" si="7"/>
        <v>723.43700000000001</v>
      </c>
      <c r="M16" s="268">
        <f t="shared" si="7"/>
        <v>709.16099999999994</v>
      </c>
      <c r="N16" s="211">
        <f t="shared" si="7"/>
        <v>723.43700000000001</v>
      </c>
      <c r="O16" s="83">
        <f t="shared" si="7"/>
        <v>710.47900000000004</v>
      </c>
      <c r="P16" s="211">
        <f t="shared" si="7"/>
        <v>723.43700000000001</v>
      </c>
      <c r="Q16" s="221">
        <f t="shared" si="7"/>
        <v>710.17399999999998</v>
      </c>
      <c r="R16" s="211">
        <f>R17</f>
        <v>723.43700000000001</v>
      </c>
      <c r="S16" s="331">
        <f t="shared" si="7"/>
        <v>710.84500000000003</v>
      </c>
      <c r="T16" s="211">
        <f>T17</f>
        <v>723.43700000000001</v>
      </c>
      <c r="U16" s="211">
        <f t="shared" si="7"/>
        <v>710.27</v>
      </c>
      <c r="V16" s="211">
        <f>V17</f>
        <v>723.43700000000001</v>
      </c>
      <c r="W16" s="238">
        <f t="shared" si="7"/>
        <v>709.67899999999997</v>
      </c>
      <c r="X16" s="211">
        <f>X17</f>
        <v>723.43700000000001</v>
      </c>
      <c r="Y16" s="277">
        <f t="shared" si="7"/>
        <v>710.01800000000003</v>
      </c>
      <c r="Z16" s="211">
        <f>Z17</f>
        <v>723.43700000000001</v>
      </c>
      <c r="AA16" s="435">
        <f t="shared" si="7"/>
        <v>715.82</v>
      </c>
      <c r="AB16" s="211">
        <f>AB17</f>
        <v>723.43700000000001</v>
      </c>
      <c r="AC16" s="185">
        <f t="shared" si="7"/>
        <v>708.67499999999995</v>
      </c>
      <c r="AD16" s="211">
        <f>AD17</f>
        <v>723.43700000000001</v>
      </c>
      <c r="AE16" s="211">
        <f t="shared" si="7"/>
        <v>0</v>
      </c>
      <c r="AF16" s="211">
        <f>AF17</f>
        <v>1921.894</v>
      </c>
      <c r="AG16" s="211">
        <f t="shared" si="7"/>
        <v>0</v>
      </c>
      <c r="AH16" s="357" t="s">
        <v>426</v>
      </c>
      <c r="AI16" s="218"/>
    </row>
    <row r="17" spans="1:35" s="22" customFormat="1" ht="56.25" customHeight="1" x14ac:dyDescent="0.25">
      <c r="A17" s="532"/>
      <c r="B17" s="579"/>
      <c r="C17" s="73" t="s">
        <v>21</v>
      </c>
      <c r="D17" s="74">
        <f>SUM(J17,L17,N17,P17,R17,T17,V17,X17,Z17,AB17,AD17,AF17)</f>
        <v>9985.8989999999994</v>
      </c>
      <c r="E17" s="420">
        <f>J17+L17+N17+P17+R17+T17+V17+X17+Z17+AB17</f>
        <v>7340.5679999999993</v>
      </c>
      <c r="F17" s="74">
        <f>G17</f>
        <v>7040.5379999999996</v>
      </c>
      <c r="G17" s="171">
        <f>SUM(K17,M17,O17,Q17,S17,U17,W17,Y17,AA17,AC17,AE17,AG17)</f>
        <v>7040.5379999999996</v>
      </c>
      <c r="H17" s="74">
        <f t="shared" si="5"/>
        <v>70.504798816811586</v>
      </c>
      <c r="I17" s="74">
        <f t="shared" si="6"/>
        <v>95.912714111496555</v>
      </c>
      <c r="J17" s="67">
        <v>829.63499999999999</v>
      </c>
      <c r="K17" s="208">
        <v>645.41700000000003</v>
      </c>
      <c r="L17" s="67">
        <v>723.43700000000001</v>
      </c>
      <c r="M17" s="270">
        <v>709.16099999999994</v>
      </c>
      <c r="N17" s="67">
        <v>723.43700000000001</v>
      </c>
      <c r="O17" s="86">
        <v>710.47900000000004</v>
      </c>
      <c r="P17" s="67">
        <v>723.43700000000001</v>
      </c>
      <c r="Q17" s="338">
        <v>710.17399999999998</v>
      </c>
      <c r="R17" s="67">
        <v>723.43700000000001</v>
      </c>
      <c r="S17" s="333">
        <v>710.84500000000003</v>
      </c>
      <c r="T17" s="67">
        <v>723.43700000000001</v>
      </c>
      <c r="U17" s="67">
        <v>710.27</v>
      </c>
      <c r="V17" s="67">
        <v>723.43700000000001</v>
      </c>
      <c r="W17" s="394">
        <v>709.67899999999997</v>
      </c>
      <c r="X17" s="67">
        <v>723.43700000000001</v>
      </c>
      <c r="Y17" s="413">
        <v>710.01800000000003</v>
      </c>
      <c r="Z17" s="67">
        <v>723.43700000000001</v>
      </c>
      <c r="AA17" s="437">
        <v>715.82</v>
      </c>
      <c r="AB17" s="67">
        <v>723.43700000000001</v>
      </c>
      <c r="AC17" s="193">
        <v>708.67499999999995</v>
      </c>
      <c r="AD17" s="67">
        <v>723.43700000000001</v>
      </c>
      <c r="AE17" s="67">
        <v>0</v>
      </c>
      <c r="AF17" s="67">
        <v>1921.894</v>
      </c>
      <c r="AG17" s="67">
        <v>0</v>
      </c>
      <c r="AH17" s="75"/>
      <c r="AI17" s="20"/>
    </row>
    <row r="18" spans="1:35" s="223" customFormat="1" ht="55.5" customHeight="1" x14ac:dyDescent="0.25">
      <c r="A18" s="530" t="s">
        <v>221</v>
      </c>
      <c r="B18" s="578" t="s">
        <v>222</v>
      </c>
      <c r="C18" s="219" t="s">
        <v>20</v>
      </c>
      <c r="D18" s="220">
        <f>D19+D20</f>
        <v>2482.8030000000003</v>
      </c>
      <c r="E18" s="418">
        <f>E19+E20</f>
        <v>2084.4610000000002</v>
      </c>
      <c r="F18" s="220">
        <f t="shared" ref="F18:G18" si="8">F19+F20</f>
        <v>1783.9930000000002</v>
      </c>
      <c r="G18" s="400">
        <f t="shared" si="8"/>
        <v>1783.9930000000002</v>
      </c>
      <c r="H18" s="220">
        <f t="shared" si="5"/>
        <v>71.85398922105378</v>
      </c>
      <c r="I18" s="220">
        <f t="shared" si="6"/>
        <v>85.585338368048141</v>
      </c>
      <c r="J18" s="221">
        <f t="shared" ref="J18:AF18" si="9">J19+J20</f>
        <v>254.137</v>
      </c>
      <c r="K18" s="221">
        <f>K19+K20</f>
        <v>146.232</v>
      </c>
      <c r="L18" s="221">
        <f t="shared" si="9"/>
        <v>180.916</v>
      </c>
      <c r="M18" s="268">
        <f t="shared" si="9"/>
        <v>206.92600000000002</v>
      </c>
      <c r="N18" s="221">
        <f t="shared" si="9"/>
        <v>208.024</v>
      </c>
      <c r="O18" s="83">
        <f t="shared" si="9"/>
        <v>0</v>
      </c>
      <c r="P18" s="221">
        <f t="shared" si="9"/>
        <v>168.93299999999999</v>
      </c>
      <c r="Q18" s="221">
        <f t="shared" si="9"/>
        <v>204.43299999999999</v>
      </c>
      <c r="R18" s="221">
        <f t="shared" si="9"/>
        <v>151.97900000000001</v>
      </c>
      <c r="S18" s="331">
        <f t="shared" si="9"/>
        <v>106.2</v>
      </c>
      <c r="T18" s="221">
        <f t="shared" si="9"/>
        <v>379.435</v>
      </c>
      <c r="U18" s="221">
        <f t="shared" si="9"/>
        <v>188.45</v>
      </c>
      <c r="V18" s="221">
        <f t="shared" si="9"/>
        <v>273.57</v>
      </c>
      <c r="W18" s="238">
        <f t="shared" si="9"/>
        <v>420.29</v>
      </c>
      <c r="X18" s="221">
        <f t="shared" si="9"/>
        <v>151.97800000000001</v>
      </c>
      <c r="Y18" s="277">
        <f t="shared" si="9"/>
        <v>117.736</v>
      </c>
      <c r="Z18" s="221">
        <f t="shared" si="9"/>
        <v>151.97800000000001</v>
      </c>
      <c r="AA18" s="435">
        <f t="shared" si="9"/>
        <v>185.91</v>
      </c>
      <c r="AB18" s="221">
        <f t="shared" si="9"/>
        <v>163.511</v>
      </c>
      <c r="AC18" s="185">
        <f t="shared" si="9"/>
        <v>207.816</v>
      </c>
      <c r="AD18" s="221">
        <f t="shared" si="9"/>
        <v>151.97800000000001</v>
      </c>
      <c r="AE18" s="221">
        <f t="shared" si="9"/>
        <v>0</v>
      </c>
      <c r="AF18" s="221">
        <f t="shared" si="9"/>
        <v>246.364</v>
      </c>
      <c r="AG18" s="221">
        <f>AG19+AG20</f>
        <v>0</v>
      </c>
      <c r="AH18" s="358" t="s">
        <v>360</v>
      </c>
      <c r="AI18" s="222"/>
    </row>
    <row r="19" spans="1:35" s="21" customFormat="1" ht="45" customHeight="1" x14ac:dyDescent="0.25">
      <c r="A19" s="531"/>
      <c r="B19" s="599"/>
      <c r="C19" s="73" t="s">
        <v>22</v>
      </c>
      <c r="D19" s="74">
        <f>SUM(J19,L19,N19,P19,R19,T19,V19,X19,Z19,AB19,AD19,AF19)</f>
        <v>2370.4010000000003</v>
      </c>
      <c r="E19" s="420">
        <f>J19+L19+N19+P19+R19+T19+V19+X19+Z19+AB19</f>
        <v>1972.0590000000004</v>
      </c>
      <c r="F19" s="74">
        <f>G19</f>
        <v>1708.7200000000003</v>
      </c>
      <c r="G19" s="171">
        <f>SUM(K19,M19,O19,Q19,S19,U19,W19,Y19,AA19,AC19,AE19,AG19)</f>
        <v>1708.7200000000003</v>
      </c>
      <c r="H19" s="74">
        <f t="shared" si="5"/>
        <v>72.085693517679076</v>
      </c>
      <c r="I19" s="74">
        <f t="shared" si="6"/>
        <v>86.646494856391215</v>
      </c>
      <c r="J19" s="67">
        <v>248.60900000000001</v>
      </c>
      <c r="K19" s="208">
        <v>140.70500000000001</v>
      </c>
      <c r="L19" s="67">
        <v>180.916</v>
      </c>
      <c r="M19" s="270">
        <v>206.376</v>
      </c>
      <c r="N19" s="67">
        <v>208.024</v>
      </c>
      <c r="O19" s="86">
        <v>0</v>
      </c>
      <c r="P19" s="67">
        <v>161.57499999999999</v>
      </c>
      <c r="Q19" s="338">
        <v>197.57</v>
      </c>
      <c r="R19" s="67">
        <v>151.97900000000001</v>
      </c>
      <c r="S19" s="333">
        <v>99.31</v>
      </c>
      <c r="T19" s="67">
        <v>323.03500000000003</v>
      </c>
      <c r="U19" s="67">
        <v>146.72999999999999</v>
      </c>
      <c r="V19" s="67">
        <v>237.81200000000001</v>
      </c>
      <c r="W19" s="394">
        <v>413.43</v>
      </c>
      <c r="X19" s="67">
        <v>151.97800000000001</v>
      </c>
      <c r="Y19" s="413">
        <v>117.736</v>
      </c>
      <c r="Z19" s="67">
        <v>151.97800000000001</v>
      </c>
      <c r="AA19" s="437">
        <v>185.91</v>
      </c>
      <c r="AB19" s="67">
        <v>156.15299999999999</v>
      </c>
      <c r="AC19" s="193">
        <v>200.953</v>
      </c>
      <c r="AD19" s="67">
        <v>151.97800000000001</v>
      </c>
      <c r="AE19" s="67">
        <v>0</v>
      </c>
      <c r="AF19" s="67">
        <v>246.364</v>
      </c>
      <c r="AG19" s="67">
        <v>0</v>
      </c>
      <c r="AH19" s="72"/>
      <c r="AI19" s="20"/>
    </row>
    <row r="20" spans="1:35" s="22" customFormat="1" ht="63" customHeight="1" x14ac:dyDescent="0.25">
      <c r="A20" s="532"/>
      <c r="B20" s="579"/>
      <c r="C20" s="73" t="s">
        <v>21</v>
      </c>
      <c r="D20" s="74">
        <f>SUM(J20,L20,N20,P20,R20,T20,V20,X20,Z20,AB20,AD20,AF20)</f>
        <v>112.40200000000002</v>
      </c>
      <c r="E20" s="420">
        <f>J20+L20+N20+P20+R20+T20+V20+X20+Z20+AB20</f>
        <v>112.40200000000002</v>
      </c>
      <c r="F20" s="74">
        <f>G20</f>
        <v>75.272999999999996</v>
      </c>
      <c r="G20" s="171">
        <f>SUM(K20,M20,O20,Q20,S20,U20,W20,Y20,AA20,AC20,AE20,AG20)</f>
        <v>75.272999999999996</v>
      </c>
      <c r="H20" s="74">
        <f t="shared" si="5"/>
        <v>66.967669614419663</v>
      </c>
      <c r="I20" s="74">
        <f t="shared" si="6"/>
        <v>66.967669614419663</v>
      </c>
      <c r="J20" s="67">
        <v>5.5279999999999996</v>
      </c>
      <c r="K20" s="208">
        <v>5.5270000000000001</v>
      </c>
      <c r="L20" s="67">
        <v>0</v>
      </c>
      <c r="M20" s="270">
        <v>0.55000000000000004</v>
      </c>
      <c r="N20" s="67">
        <v>0</v>
      </c>
      <c r="O20" s="86">
        <v>0</v>
      </c>
      <c r="P20" s="67">
        <v>7.3579999999999997</v>
      </c>
      <c r="Q20" s="338">
        <v>6.8630000000000004</v>
      </c>
      <c r="R20" s="67">
        <v>0</v>
      </c>
      <c r="S20" s="333">
        <v>6.89</v>
      </c>
      <c r="T20" s="67">
        <v>56.4</v>
      </c>
      <c r="U20" s="67">
        <v>41.72</v>
      </c>
      <c r="V20" s="67">
        <v>35.758000000000003</v>
      </c>
      <c r="W20" s="394">
        <v>6.86</v>
      </c>
      <c r="X20" s="67">
        <v>0</v>
      </c>
      <c r="Y20" s="413">
        <v>0</v>
      </c>
      <c r="Z20" s="67">
        <v>0</v>
      </c>
      <c r="AA20" s="437">
        <v>0</v>
      </c>
      <c r="AB20" s="67">
        <v>7.3579999999999997</v>
      </c>
      <c r="AC20" s="193">
        <v>6.8630000000000004</v>
      </c>
      <c r="AD20" s="67">
        <v>0</v>
      </c>
      <c r="AE20" s="67">
        <v>0</v>
      </c>
      <c r="AF20" s="67">
        <v>0</v>
      </c>
      <c r="AG20" s="67">
        <v>0</v>
      </c>
      <c r="AH20" s="75"/>
      <c r="AI20" s="20"/>
    </row>
    <row r="21" spans="1:35" s="229" customFormat="1" ht="84" customHeight="1" x14ac:dyDescent="0.25">
      <c r="A21" s="530" t="s">
        <v>223</v>
      </c>
      <c r="B21" s="578" t="s">
        <v>224</v>
      </c>
      <c r="C21" s="224" t="s">
        <v>20</v>
      </c>
      <c r="D21" s="225">
        <f>D22</f>
        <v>4.5999999999999996</v>
      </c>
      <c r="E21" s="418">
        <f>E22</f>
        <v>4.5999999999999996</v>
      </c>
      <c r="F21" s="225">
        <f t="shared" ref="E21:G37" si="10">F22</f>
        <v>4.59</v>
      </c>
      <c r="G21" s="401">
        <f t="shared" si="10"/>
        <v>4.59</v>
      </c>
      <c r="H21" s="225">
        <f t="shared" si="5"/>
        <v>99.782608695652172</v>
      </c>
      <c r="I21" s="225">
        <f t="shared" si="6"/>
        <v>99.782608695652172</v>
      </c>
      <c r="J21" s="226">
        <f t="shared" ref="J21:AG21" si="11">J22</f>
        <v>0</v>
      </c>
      <c r="K21" s="226">
        <f t="shared" si="11"/>
        <v>0</v>
      </c>
      <c r="L21" s="226">
        <f t="shared" si="11"/>
        <v>0</v>
      </c>
      <c r="M21" s="268">
        <f t="shared" si="11"/>
        <v>0</v>
      </c>
      <c r="N21" s="226">
        <f t="shared" si="11"/>
        <v>0</v>
      </c>
      <c r="O21" s="83">
        <f t="shared" si="11"/>
        <v>0</v>
      </c>
      <c r="P21" s="226">
        <f t="shared" si="11"/>
        <v>1.8</v>
      </c>
      <c r="Q21" s="221">
        <f t="shared" si="11"/>
        <v>1.8</v>
      </c>
      <c r="R21" s="226">
        <f t="shared" si="11"/>
        <v>0</v>
      </c>
      <c r="S21" s="331">
        <f t="shared" si="11"/>
        <v>0</v>
      </c>
      <c r="T21" s="226">
        <f t="shared" si="11"/>
        <v>0</v>
      </c>
      <c r="U21" s="226">
        <f t="shared" si="11"/>
        <v>0</v>
      </c>
      <c r="V21" s="226">
        <f t="shared" si="11"/>
        <v>0</v>
      </c>
      <c r="W21" s="238">
        <f t="shared" si="11"/>
        <v>0</v>
      </c>
      <c r="X21" s="226">
        <f t="shared" si="11"/>
        <v>0</v>
      </c>
      <c r="Y21" s="277">
        <f t="shared" si="11"/>
        <v>0</v>
      </c>
      <c r="Z21" s="226">
        <f t="shared" si="11"/>
        <v>0</v>
      </c>
      <c r="AA21" s="435">
        <f t="shared" si="11"/>
        <v>0</v>
      </c>
      <c r="AB21" s="226">
        <f t="shared" si="11"/>
        <v>2.8</v>
      </c>
      <c r="AC21" s="185">
        <f t="shared" si="11"/>
        <v>2.79</v>
      </c>
      <c r="AD21" s="226">
        <f t="shared" si="11"/>
        <v>0</v>
      </c>
      <c r="AE21" s="226">
        <f t="shared" si="11"/>
        <v>0</v>
      </c>
      <c r="AF21" s="226">
        <f t="shared" si="11"/>
        <v>0</v>
      </c>
      <c r="AG21" s="226">
        <f t="shared" si="11"/>
        <v>0</v>
      </c>
      <c r="AH21" s="356"/>
      <c r="AI21" s="228"/>
    </row>
    <row r="22" spans="1:35" s="22" customFormat="1" ht="64.5" customHeight="1" x14ac:dyDescent="0.25">
      <c r="A22" s="532"/>
      <c r="B22" s="579"/>
      <c r="C22" s="73" t="s">
        <v>52</v>
      </c>
      <c r="D22" s="74">
        <f>SUM(J22,L22,N22,P22,R22,T22,V22,X22,Z22,AB22,AD22,AF22)</f>
        <v>4.5999999999999996</v>
      </c>
      <c r="E22" s="420">
        <f>J22+L22+N22+P22+R22+T22+V22+X22+Z22+AB22</f>
        <v>4.5999999999999996</v>
      </c>
      <c r="F22" s="74">
        <f>G22</f>
        <v>4.59</v>
      </c>
      <c r="G22" s="171">
        <f>SUM(K22,M22,O22,Q22,S22,U22,W22,Y22,AA22,AC22,AE22,AG22)</f>
        <v>4.59</v>
      </c>
      <c r="H22" s="74">
        <f t="shared" si="5"/>
        <v>99.782608695652172</v>
      </c>
      <c r="I22" s="74">
        <f t="shared" si="6"/>
        <v>99.782608695652172</v>
      </c>
      <c r="J22" s="67">
        <v>0</v>
      </c>
      <c r="K22" s="208">
        <v>0</v>
      </c>
      <c r="L22" s="67">
        <v>0</v>
      </c>
      <c r="M22" s="270">
        <v>0</v>
      </c>
      <c r="N22" s="67">
        <v>0</v>
      </c>
      <c r="O22" s="86">
        <v>0</v>
      </c>
      <c r="P22" s="67">
        <v>1.8</v>
      </c>
      <c r="Q22" s="338">
        <v>1.8</v>
      </c>
      <c r="R22" s="67">
        <v>0</v>
      </c>
      <c r="S22" s="333">
        <v>0</v>
      </c>
      <c r="T22" s="67">
        <v>0</v>
      </c>
      <c r="U22" s="67">
        <v>0</v>
      </c>
      <c r="V22" s="67">
        <v>0</v>
      </c>
      <c r="W22" s="394">
        <v>0</v>
      </c>
      <c r="X22" s="67">
        <v>0</v>
      </c>
      <c r="Y22" s="413">
        <v>0</v>
      </c>
      <c r="Z22" s="67">
        <v>0</v>
      </c>
      <c r="AA22" s="437">
        <v>0</v>
      </c>
      <c r="AB22" s="67">
        <v>2.8</v>
      </c>
      <c r="AC22" s="193">
        <v>2.79</v>
      </c>
      <c r="AD22" s="67">
        <v>0</v>
      </c>
      <c r="AE22" s="67">
        <v>0</v>
      </c>
      <c r="AF22" s="67">
        <v>0</v>
      </c>
      <c r="AG22" s="67">
        <v>0</v>
      </c>
      <c r="AH22" s="75"/>
      <c r="AI22" s="20"/>
    </row>
    <row r="23" spans="1:35" s="255" customFormat="1" ht="96" customHeight="1" x14ac:dyDescent="0.25">
      <c r="A23" s="530" t="s">
        <v>225</v>
      </c>
      <c r="B23" s="578" t="s">
        <v>226</v>
      </c>
      <c r="C23" s="224" t="s">
        <v>20</v>
      </c>
      <c r="D23" s="225">
        <f>D24</f>
        <v>262.50000000000006</v>
      </c>
      <c r="E23" s="418">
        <f>E24</f>
        <v>258.26800000000003</v>
      </c>
      <c r="F23" s="225">
        <f t="shared" si="10"/>
        <v>959.41000000000008</v>
      </c>
      <c r="G23" s="401">
        <f t="shared" si="10"/>
        <v>959.41000000000008</v>
      </c>
      <c r="H23" s="225">
        <f t="shared" si="5"/>
        <v>365.48952380952375</v>
      </c>
      <c r="I23" s="225">
        <f t="shared" si="6"/>
        <v>371.47846423095388</v>
      </c>
      <c r="J23" s="226">
        <f t="shared" ref="J23:AG23" si="12">J24</f>
        <v>0</v>
      </c>
      <c r="K23" s="226">
        <f t="shared" si="12"/>
        <v>0</v>
      </c>
      <c r="L23" s="226">
        <f t="shared" si="12"/>
        <v>8.3520000000000003</v>
      </c>
      <c r="M23" s="268">
        <f t="shared" si="12"/>
        <v>886.77800000000002</v>
      </c>
      <c r="N23" s="226">
        <f t="shared" si="12"/>
        <v>8.3520000000000003</v>
      </c>
      <c r="O23" s="83">
        <f t="shared" si="12"/>
        <v>8.3520000000000003</v>
      </c>
      <c r="P23" s="226">
        <f t="shared" si="12"/>
        <v>8.3520000000000003</v>
      </c>
      <c r="Q23" s="221">
        <f t="shared" si="12"/>
        <v>8.35</v>
      </c>
      <c r="R23" s="226">
        <f t="shared" si="12"/>
        <v>8.3520000000000003</v>
      </c>
      <c r="S23" s="331">
        <f t="shared" si="12"/>
        <v>8.3520000000000003</v>
      </c>
      <c r="T23" s="226">
        <f t="shared" si="12"/>
        <v>8.3520000000000003</v>
      </c>
      <c r="U23" s="226">
        <f t="shared" si="12"/>
        <v>8.35</v>
      </c>
      <c r="V23" s="226">
        <f t="shared" si="12"/>
        <v>8.3520000000000003</v>
      </c>
      <c r="W23" s="238">
        <f t="shared" si="12"/>
        <v>8.35</v>
      </c>
      <c r="X23" s="226">
        <f t="shared" si="12"/>
        <v>8.3520000000000003</v>
      </c>
      <c r="Y23" s="277">
        <f t="shared" si="12"/>
        <v>8.3520000000000003</v>
      </c>
      <c r="Z23" s="226">
        <f t="shared" si="12"/>
        <v>8.3520000000000003</v>
      </c>
      <c r="AA23" s="435">
        <f t="shared" si="12"/>
        <v>8.35</v>
      </c>
      <c r="AB23" s="226">
        <f t="shared" si="12"/>
        <v>191.452</v>
      </c>
      <c r="AC23" s="185">
        <f t="shared" si="12"/>
        <v>14.176</v>
      </c>
      <c r="AD23" s="226">
        <f t="shared" si="12"/>
        <v>4.2320000000000002</v>
      </c>
      <c r="AE23" s="226">
        <f t="shared" si="12"/>
        <v>0</v>
      </c>
      <c r="AF23" s="226">
        <f t="shared" si="12"/>
        <v>0</v>
      </c>
      <c r="AG23" s="226">
        <f t="shared" si="12"/>
        <v>0</v>
      </c>
      <c r="AH23" s="227" t="s">
        <v>432</v>
      </c>
      <c r="AI23" s="254"/>
    </row>
    <row r="24" spans="1:35" s="18" customFormat="1" ht="107.25" customHeight="1" x14ac:dyDescent="0.25">
      <c r="A24" s="532"/>
      <c r="B24" s="579"/>
      <c r="C24" s="73" t="s">
        <v>21</v>
      </c>
      <c r="D24" s="74">
        <f>SUM(J24,L24,N24,P24,R24,T24,V24,X24,Z24,AB24,AD24,AF24)</f>
        <v>262.50000000000006</v>
      </c>
      <c r="E24" s="420">
        <f>J24+L24+N24+P24+R24+T24+V24+X24+Z24+AB24</f>
        <v>258.26800000000003</v>
      </c>
      <c r="F24" s="74">
        <f>G24</f>
        <v>959.41000000000008</v>
      </c>
      <c r="G24" s="171">
        <f>SUM(K24,M24,O24,Q24,S24,U24,W24,Y24,AA24,AC24,AE24,AG24)</f>
        <v>959.41000000000008</v>
      </c>
      <c r="H24" s="74">
        <f t="shared" si="5"/>
        <v>365.48952380952375</v>
      </c>
      <c r="I24" s="74">
        <f t="shared" si="6"/>
        <v>371.47846423095388</v>
      </c>
      <c r="J24" s="67">
        <v>0</v>
      </c>
      <c r="K24" s="208">
        <v>0</v>
      </c>
      <c r="L24" s="67">
        <v>8.3520000000000003</v>
      </c>
      <c r="M24" s="270">
        <v>886.77800000000002</v>
      </c>
      <c r="N24" s="67">
        <v>8.3520000000000003</v>
      </c>
      <c r="O24" s="86">
        <v>8.3520000000000003</v>
      </c>
      <c r="P24" s="67">
        <v>8.3520000000000003</v>
      </c>
      <c r="Q24" s="338">
        <v>8.35</v>
      </c>
      <c r="R24" s="67">
        <v>8.3520000000000003</v>
      </c>
      <c r="S24" s="333">
        <v>8.3520000000000003</v>
      </c>
      <c r="T24" s="67">
        <v>8.3520000000000003</v>
      </c>
      <c r="U24" s="67">
        <v>8.35</v>
      </c>
      <c r="V24" s="67">
        <v>8.3520000000000003</v>
      </c>
      <c r="W24" s="394">
        <v>8.35</v>
      </c>
      <c r="X24" s="67">
        <v>8.3520000000000003</v>
      </c>
      <c r="Y24" s="413">
        <v>8.3520000000000003</v>
      </c>
      <c r="Z24" s="67">
        <v>8.3520000000000003</v>
      </c>
      <c r="AA24" s="437">
        <v>8.35</v>
      </c>
      <c r="AB24" s="67">
        <v>191.452</v>
      </c>
      <c r="AC24" s="193">
        <v>14.176</v>
      </c>
      <c r="AD24" s="67">
        <v>4.2320000000000002</v>
      </c>
      <c r="AE24" s="67">
        <v>0</v>
      </c>
      <c r="AF24" s="67">
        <v>0</v>
      </c>
      <c r="AG24" s="67">
        <v>0</v>
      </c>
      <c r="AH24" s="75" t="s">
        <v>433</v>
      </c>
      <c r="AI24" s="19"/>
    </row>
    <row r="25" spans="1:35" s="253" customFormat="1" ht="97.5" customHeight="1" x14ac:dyDescent="0.25">
      <c r="A25" s="530" t="s">
        <v>227</v>
      </c>
      <c r="B25" s="578" t="s">
        <v>228</v>
      </c>
      <c r="C25" s="249" t="s">
        <v>20</v>
      </c>
      <c r="D25" s="402">
        <f>D26</f>
        <v>539.18000000000006</v>
      </c>
      <c r="E25" s="418">
        <f t="shared" si="10"/>
        <v>539.18000000000006</v>
      </c>
      <c r="F25" s="250">
        <f t="shared" si="10"/>
        <v>520</v>
      </c>
      <c r="G25" s="402">
        <f t="shared" si="10"/>
        <v>520</v>
      </c>
      <c r="H25" s="250">
        <f t="shared" si="5"/>
        <v>96.442746392670344</v>
      </c>
      <c r="I25" s="250">
        <f t="shared" si="6"/>
        <v>96.442746392670344</v>
      </c>
      <c r="J25" s="251">
        <f t="shared" ref="J25:AG25" si="13">J26</f>
        <v>15</v>
      </c>
      <c r="K25" s="251">
        <f t="shared" si="13"/>
        <v>0</v>
      </c>
      <c r="L25" s="251">
        <f t="shared" si="13"/>
        <v>237.3</v>
      </c>
      <c r="M25" s="268">
        <f t="shared" si="13"/>
        <v>77</v>
      </c>
      <c r="N25" s="251">
        <f t="shared" si="13"/>
        <v>0</v>
      </c>
      <c r="O25" s="83">
        <f t="shared" si="13"/>
        <v>0</v>
      </c>
      <c r="P25" s="251">
        <f t="shared" si="13"/>
        <v>33.299999999999997</v>
      </c>
      <c r="Q25" s="221">
        <f t="shared" si="13"/>
        <v>113</v>
      </c>
      <c r="R25" s="251">
        <f t="shared" si="13"/>
        <v>229</v>
      </c>
      <c r="S25" s="331">
        <f t="shared" si="13"/>
        <v>165</v>
      </c>
      <c r="T25" s="251">
        <f t="shared" si="13"/>
        <v>0</v>
      </c>
      <c r="U25" s="251">
        <f t="shared" si="13"/>
        <v>165</v>
      </c>
      <c r="V25" s="251">
        <f t="shared" si="13"/>
        <v>0</v>
      </c>
      <c r="W25" s="238">
        <f t="shared" si="13"/>
        <v>0</v>
      </c>
      <c r="X25" s="251">
        <f t="shared" si="13"/>
        <v>0</v>
      </c>
      <c r="Y25" s="277">
        <f t="shared" si="13"/>
        <v>0</v>
      </c>
      <c r="Z25" s="251">
        <f t="shared" si="13"/>
        <v>24.58</v>
      </c>
      <c r="AA25" s="435">
        <f t="shared" si="13"/>
        <v>0</v>
      </c>
      <c r="AB25" s="251">
        <f t="shared" si="13"/>
        <v>0</v>
      </c>
      <c r="AC25" s="185">
        <f t="shared" si="13"/>
        <v>0</v>
      </c>
      <c r="AD25" s="251">
        <f t="shared" si="13"/>
        <v>0</v>
      </c>
      <c r="AE25" s="251">
        <f t="shared" si="13"/>
        <v>0</v>
      </c>
      <c r="AF25" s="251">
        <f t="shared" si="13"/>
        <v>0</v>
      </c>
      <c r="AG25" s="251">
        <f t="shared" si="13"/>
        <v>0</v>
      </c>
      <c r="AH25" s="492" t="s">
        <v>437</v>
      </c>
      <c r="AI25" s="252"/>
    </row>
    <row r="26" spans="1:35" s="18" customFormat="1" ht="58.5" customHeight="1" x14ac:dyDescent="0.25">
      <c r="A26" s="532"/>
      <c r="B26" s="579"/>
      <c r="C26" s="73" t="s">
        <v>21</v>
      </c>
      <c r="D26" s="74">
        <f>SUM(J26,L26,N26,P26,R26,T26,V26,X26,Z26,AB26,AD26,AF26)</f>
        <v>539.18000000000006</v>
      </c>
      <c r="E26" s="420">
        <f>J26+L26+N26+P26+R26+T26+V26+X26+Z26+AB26</f>
        <v>539.18000000000006</v>
      </c>
      <c r="F26" s="74">
        <f>G26</f>
        <v>520</v>
      </c>
      <c r="G26" s="171">
        <f>SUM(K26,M26,O26,Q26,S26,U26,W26,Y26,AA26,AC26,AE26,AG26)</f>
        <v>520</v>
      </c>
      <c r="H26" s="74">
        <f t="shared" si="5"/>
        <v>96.442746392670344</v>
      </c>
      <c r="I26" s="74">
        <f t="shared" si="6"/>
        <v>96.442746392670344</v>
      </c>
      <c r="J26" s="67">
        <v>15</v>
      </c>
      <c r="K26" s="208">
        <v>0</v>
      </c>
      <c r="L26" s="67">
        <v>237.3</v>
      </c>
      <c r="M26" s="270">
        <v>77</v>
      </c>
      <c r="N26" s="67">
        <v>0</v>
      </c>
      <c r="O26" s="86">
        <v>0</v>
      </c>
      <c r="P26" s="67">
        <v>33.299999999999997</v>
      </c>
      <c r="Q26" s="338">
        <v>113</v>
      </c>
      <c r="R26" s="67">
        <v>229</v>
      </c>
      <c r="S26" s="333">
        <v>165</v>
      </c>
      <c r="T26" s="67">
        <v>0</v>
      </c>
      <c r="U26" s="67">
        <v>165</v>
      </c>
      <c r="V26" s="67">
        <v>0</v>
      </c>
      <c r="W26" s="394">
        <v>0</v>
      </c>
      <c r="X26" s="67">
        <v>0</v>
      </c>
      <c r="Y26" s="413">
        <v>0</v>
      </c>
      <c r="Z26" s="67">
        <v>24.58</v>
      </c>
      <c r="AA26" s="437">
        <v>0</v>
      </c>
      <c r="AB26" s="67">
        <v>0</v>
      </c>
      <c r="AC26" s="193">
        <v>0</v>
      </c>
      <c r="AD26" s="67">
        <v>0</v>
      </c>
      <c r="AE26" s="67">
        <v>0</v>
      </c>
      <c r="AF26" s="67">
        <v>0</v>
      </c>
      <c r="AG26" s="67">
        <v>0</v>
      </c>
      <c r="AH26" s="493"/>
      <c r="AI26" s="19"/>
    </row>
    <row r="27" spans="1:35" s="22" customFormat="1" ht="18.75" customHeight="1" x14ac:dyDescent="0.25">
      <c r="A27" s="132" t="s">
        <v>153</v>
      </c>
      <c r="B27" s="596" t="s">
        <v>229</v>
      </c>
      <c r="C27" s="597"/>
      <c r="D27" s="597"/>
      <c r="E27" s="597"/>
      <c r="F27" s="597"/>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8"/>
      <c r="AH27" s="75"/>
    </row>
    <row r="28" spans="1:35" s="248" customFormat="1" ht="63.75" customHeight="1" x14ac:dyDescent="0.25">
      <c r="A28" s="530" t="s">
        <v>154</v>
      </c>
      <c r="B28" s="578" t="s">
        <v>230</v>
      </c>
      <c r="C28" s="243" t="s">
        <v>20</v>
      </c>
      <c r="D28" s="244">
        <f>D29</f>
        <v>150.39929999999998</v>
      </c>
      <c r="E28" s="418">
        <f t="shared" si="10"/>
        <v>150.39929999999998</v>
      </c>
      <c r="F28" s="244">
        <f>F29</f>
        <v>128.97</v>
      </c>
      <c r="G28" s="403">
        <f t="shared" si="10"/>
        <v>128.97</v>
      </c>
      <c r="H28" s="244">
        <f t="shared" ref="H28:H35" si="14">IFERROR(G28/D28*100,0)</f>
        <v>85.751728897674397</v>
      </c>
      <c r="I28" s="244">
        <f t="shared" ref="I28:I35" si="15">IFERROR(G28/E28*100,0)</f>
        <v>85.751728897674397</v>
      </c>
      <c r="J28" s="245">
        <f t="shared" ref="J28:AG28" si="16">J29</f>
        <v>21.484999999999999</v>
      </c>
      <c r="K28" s="245">
        <f t="shared" si="16"/>
        <v>0</v>
      </c>
      <c r="L28" s="245">
        <f t="shared" si="16"/>
        <v>128.91</v>
      </c>
      <c r="M28" s="268">
        <f t="shared" si="16"/>
        <v>128.97</v>
      </c>
      <c r="N28" s="245">
        <f t="shared" si="16"/>
        <v>0</v>
      </c>
      <c r="O28" s="83">
        <f t="shared" si="16"/>
        <v>0</v>
      </c>
      <c r="P28" s="245">
        <f t="shared" si="16"/>
        <v>4.3E-3</v>
      </c>
      <c r="Q28" s="221">
        <f t="shared" si="16"/>
        <v>0</v>
      </c>
      <c r="R28" s="245">
        <f t="shared" si="16"/>
        <v>0</v>
      </c>
      <c r="S28" s="331">
        <f t="shared" si="16"/>
        <v>0</v>
      </c>
      <c r="T28" s="245">
        <f t="shared" si="16"/>
        <v>0</v>
      </c>
      <c r="U28" s="245">
        <f t="shared" si="16"/>
        <v>0</v>
      </c>
      <c r="V28" s="245">
        <f t="shared" si="16"/>
        <v>0</v>
      </c>
      <c r="W28" s="238">
        <f t="shared" si="16"/>
        <v>0</v>
      </c>
      <c r="X28" s="245">
        <f t="shared" si="16"/>
        <v>0</v>
      </c>
      <c r="Y28" s="277">
        <f t="shared" si="16"/>
        <v>0</v>
      </c>
      <c r="Z28" s="245">
        <f t="shared" si="16"/>
        <v>0</v>
      </c>
      <c r="AA28" s="435">
        <f t="shared" si="16"/>
        <v>0</v>
      </c>
      <c r="AB28" s="245">
        <f t="shared" si="16"/>
        <v>0</v>
      </c>
      <c r="AC28" s="185">
        <f t="shared" si="16"/>
        <v>0</v>
      </c>
      <c r="AD28" s="245">
        <f t="shared" si="16"/>
        <v>0</v>
      </c>
      <c r="AE28" s="245">
        <f t="shared" si="16"/>
        <v>0</v>
      </c>
      <c r="AF28" s="245">
        <f t="shared" si="16"/>
        <v>0</v>
      </c>
      <c r="AG28" s="245">
        <f t="shared" si="16"/>
        <v>0</v>
      </c>
      <c r="AH28" s="246" t="s">
        <v>429</v>
      </c>
      <c r="AI28" s="247"/>
    </row>
    <row r="29" spans="1:35" s="18" customFormat="1" ht="61.5" customHeight="1" x14ac:dyDescent="0.25">
      <c r="A29" s="532"/>
      <c r="B29" s="579"/>
      <c r="C29" s="73" t="s">
        <v>21</v>
      </c>
      <c r="D29" s="74">
        <f>SUM(J29,L29,N29,P29,R29,T29,V29,X29,Z29,AB29,AD29,AF29)</f>
        <v>150.39929999999998</v>
      </c>
      <c r="E29" s="420">
        <f>J29+L29+N29+P29+R29+T29+V29+X29+Z29+AB29+AD29</f>
        <v>150.39929999999998</v>
      </c>
      <c r="F29" s="74">
        <f>G29</f>
        <v>128.97</v>
      </c>
      <c r="G29" s="171">
        <f>SUM(K29,M29,O29,Q29,S29,U29,W29,Y29,AA29,AC29,AE29,AG29)</f>
        <v>128.97</v>
      </c>
      <c r="H29" s="74">
        <f t="shared" si="14"/>
        <v>85.751728897674397</v>
      </c>
      <c r="I29" s="74">
        <f t="shared" si="15"/>
        <v>85.751728897674397</v>
      </c>
      <c r="J29" s="67">
        <v>21.484999999999999</v>
      </c>
      <c r="K29" s="208">
        <v>0</v>
      </c>
      <c r="L29" s="67">
        <v>128.91</v>
      </c>
      <c r="M29" s="270">
        <v>128.97</v>
      </c>
      <c r="N29" s="67">
        <v>0</v>
      </c>
      <c r="O29" s="86">
        <v>0</v>
      </c>
      <c r="P29" s="67">
        <v>4.3E-3</v>
      </c>
      <c r="Q29" s="338">
        <v>0</v>
      </c>
      <c r="R29" s="67">
        <v>0</v>
      </c>
      <c r="S29" s="333">
        <v>0</v>
      </c>
      <c r="T29" s="67">
        <v>0</v>
      </c>
      <c r="U29" s="67">
        <v>0</v>
      </c>
      <c r="V29" s="67">
        <v>0</v>
      </c>
      <c r="W29" s="394">
        <v>0</v>
      </c>
      <c r="X29" s="67">
        <v>0</v>
      </c>
      <c r="Y29" s="413">
        <v>0</v>
      </c>
      <c r="Z29" s="67">
        <v>0</v>
      </c>
      <c r="AA29" s="437">
        <v>0</v>
      </c>
      <c r="AB29" s="67">
        <v>0</v>
      </c>
      <c r="AC29" s="193">
        <v>0</v>
      </c>
      <c r="AD29" s="67">
        <v>0</v>
      </c>
      <c r="AE29" s="67">
        <v>0</v>
      </c>
      <c r="AF29" s="67">
        <v>0</v>
      </c>
      <c r="AG29" s="67">
        <v>0</v>
      </c>
      <c r="AH29" s="75"/>
      <c r="AI29" s="19"/>
    </row>
    <row r="30" spans="1:35" s="235" customFormat="1" ht="67.5" customHeight="1" x14ac:dyDescent="0.25">
      <c r="A30" s="530" t="s">
        <v>155</v>
      </c>
      <c r="B30" s="578" t="s">
        <v>231</v>
      </c>
      <c r="C30" s="230" t="s">
        <v>20</v>
      </c>
      <c r="D30" s="231">
        <f>D31</f>
        <v>83.6</v>
      </c>
      <c r="E30" s="418">
        <f t="shared" si="10"/>
        <v>69.11999999999999</v>
      </c>
      <c r="F30" s="231">
        <f t="shared" si="10"/>
        <v>63.36</v>
      </c>
      <c r="G30" s="404">
        <f t="shared" si="10"/>
        <v>63.36</v>
      </c>
      <c r="H30" s="231">
        <f t="shared" si="14"/>
        <v>75.789473684210535</v>
      </c>
      <c r="I30" s="231">
        <f t="shared" si="15"/>
        <v>91.666666666666671</v>
      </c>
      <c r="J30" s="232">
        <f t="shared" ref="J30:AG30" si="17">J31</f>
        <v>0</v>
      </c>
      <c r="K30" s="232">
        <f t="shared" si="17"/>
        <v>0</v>
      </c>
      <c r="L30" s="232">
        <f t="shared" si="17"/>
        <v>5.76</v>
      </c>
      <c r="M30" s="268">
        <f t="shared" si="17"/>
        <v>5.76</v>
      </c>
      <c r="N30" s="232">
        <f t="shared" si="17"/>
        <v>11.52</v>
      </c>
      <c r="O30" s="83">
        <f t="shared" si="17"/>
        <v>5.76</v>
      </c>
      <c r="P30" s="232">
        <f t="shared" si="17"/>
        <v>5.76</v>
      </c>
      <c r="Q30" s="221">
        <f t="shared" si="17"/>
        <v>5.76</v>
      </c>
      <c r="R30" s="232">
        <f t="shared" si="17"/>
        <v>5.76</v>
      </c>
      <c r="S30" s="331">
        <f t="shared" si="17"/>
        <v>11.52</v>
      </c>
      <c r="T30" s="232">
        <f t="shared" si="17"/>
        <v>5.76</v>
      </c>
      <c r="U30" s="232">
        <f t="shared" si="17"/>
        <v>5.76</v>
      </c>
      <c r="V30" s="232">
        <f t="shared" si="17"/>
        <v>11.52</v>
      </c>
      <c r="W30" s="238">
        <f t="shared" si="17"/>
        <v>5.76</v>
      </c>
      <c r="X30" s="232">
        <f t="shared" si="17"/>
        <v>5.76</v>
      </c>
      <c r="Y30" s="277">
        <f t="shared" si="17"/>
        <v>11.52</v>
      </c>
      <c r="Z30" s="232">
        <f t="shared" si="17"/>
        <v>5.76</v>
      </c>
      <c r="AA30" s="435">
        <f t="shared" si="17"/>
        <v>5.76</v>
      </c>
      <c r="AB30" s="232">
        <f t="shared" si="17"/>
        <v>11.52</v>
      </c>
      <c r="AC30" s="185">
        <f t="shared" si="17"/>
        <v>5.76</v>
      </c>
      <c r="AD30" s="232">
        <f t="shared" si="17"/>
        <v>5.76</v>
      </c>
      <c r="AE30" s="232">
        <f t="shared" si="17"/>
        <v>0</v>
      </c>
      <c r="AF30" s="232">
        <f t="shared" si="17"/>
        <v>8.7200000000000006</v>
      </c>
      <c r="AG30" s="232">
        <f t="shared" si="17"/>
        <v>0</v>
      </c>
      <c r="AH30" s="233" t="s">
        <v>431</v>
      </c>
      <c r="AI30" s="234"/>
    </row>
    <row r="31" spans="1:35" s="18" customFormat="1" ht="43.5" customHeight="1" x14ac:dyDescent="0.25">
      <c r="A31" s="532"/>
      <c r="B31" s="579"/>
      <c r="C31" s="73" t="s">
        <v>21</v>
      </c>
      <c r="D31" s="74">
        <f>SUM(J31,L31,N31,P31,R31,T31,V31,X31,Z31,AB31,AD31,AF31)</f>
        <v>83.6</v>
      </c>
      <c r="E31" s="420">
        <f>J31+L31+N31+P31+R31+T31+V31+X31+Z31+AB31</f>
        <v>69.11999999999999</v>
      </c>
      <c r="F31" s="74">
        <f>G31</f>
        <v>63.36</v>
      </c>
      <c r="G31" s="171">
        <f>SUM(K31,M31,O31,Q31,S31,U31,W31,Y31,AA31,AC31,AE31,AG31)</f>
        <v>63.36</v>
      </c>
      <c r="H31" s="74">
        <f t="shared" si="14"/>
        <v>75.789473684210535</v>
      </c>
      <c r="I31" s="74">
        <f t="shared" si="15"/>
        <v>91.666666666666671</v>
      </c>
      <c r="J31" s="67">
        <v>0</v>
      </c>
      <c r="K31" s="208">
        <v>0</v>
      </c>
      <c r="L31" s="67">
        <v>5.76</v>
      </c>
      <c r="M31" s="270">
        <v>5.76</v>
      </c>
      <c r="N31" s="67">
        <v>11.52</v>
      </c>
      <c r="O31" s="86">
        <v>5.76</v>
      </c>
      <c r="P31" s="67">
        <v>5.76</v>
      </c>
      <c r="Q31" s="338">
        <v>5.76</v>
      </c>
      <c r="R31" s="67">
        <v>5.76</v>
      </c>
      <c r="S31" s="333">
        <v>11.52</v>
      </c>
      <c r="T31" s="67">
        <v>5.76</v>
      </c>
      <c r="U31" s="67">
        <v>5.76</v>
      </c>
      <c r="V31" s="67">
        <v>11.52</v>
      </c>
      <c r="W31" s="394">
        <v>5.76</v>
      </c>
      <c r="X31" s="67">
        <v>5.76</v>
      </c>
      <c r="Y31" s="413">
        <v>11.52</v>
      </c>
      <c r="Z31" s="67">
        <v>5.76</v>
      </c>
      <c r="AA31" s="437">
        <v>5.76</v>
      </c>
      <c r="AB31" s="67">
        <v>11.52</v>
      </c>
      <c r="AC31" s="193">
        <v>5.76</v>
      </c>
      <c r="AD31" s="67">
        <v>5.76</v>
      </c>
      <c r="AE31" s="67">
        <v>0</v>
      </c>
      <c r="AF31" s="67">
        <v>8.7200000000000006</v>
      </c>
      <c r="AG31" s="67">
        <v>0</v>
      </c>
      <c r="AH31" s="75"/>
      <c r="AI31" s="19"/>
    </row>
    <row r="32" spans="1:35" s="259" customFormat="1" ht="63" customHeight="1" x14ac:dyDescent="0.25">
      <c r="A32" s="530" t="s">
        <v>232</v>
      </c>
      <c r="B32" s="578" t="s">
        <v>233</v>
      </c>
      <c r="C32" s="236" t="s">
        <v>20</v>
      </c>
      <c r="D32" s="405">
        <f>D33</f>
        <v>649.4</v>
      </c>
      <c r="E32" s="418">
        <f>E33</f>
        <v>500.88499999999999</v>
      </c>
      <c r="F32" s="237">
        <f t="shared" si="10"/>
        <v>494.73200000000003</v>
      </c>
      <c r="G32" s="405">
        <f t="shared" si="10"/>
        <v>494.73200000000003</v>
      </c>
      <c r="H32" s="237">
        <f t="shared" si="14"/>
        <v>76.18293809670466</v>
      </c>
      <c r="I32" s="237">
        <f t="shared" si="15"/>
        <v>98.771574313465166</v>
      </c>
      <c r="J32" s="238">
        <f t="shared" ref="J32:AG32" si="18">J33</f>
        <v>0</v>
      </c>
      <c r="K32" s="238">
        <f t="shared" si="18"/>
        <v>0</v>
      </c>
      <c r="L32" s="238">
        <f t="shared" si="18"/>
        <v>267.029</v>
      </c>
      <c r="M32" s="268">
        <f t="shared" si="18"/>
        <v>245.54400000000001</v>
      </c>
      <c r="N32" s="238">
        <f t="shared" si="18"/>
        <v>15.332000000000001</v>
      </c>
      <c r="O32" s="83">
        <f t="shared" si="18"/>
        <v>15.33</v>
      </c>
      <c r="P32" s="238">
        <f t="shared" si="18"/>
        <v>0</v>
      </c>
      <c r="Q32" s="221">
        <f t="shared" si="18"/>
        <v>15.33</v>
      </c>
      <c r="R32" s="238">
        <f t="shared" si="18"/>
        <v>109</v>
      </c>
      <c r="S32" s="331">
        <f t="shared" si="18"/>
        <v>109</v>
      </c>
      <c r="T32" s="238">
        <f t="shared" si="18"/>
        <v>8.4079999999999995</v>
      </c>
      <c r="U32" s="238">
        <f t="shared" si="18"/>
        <v>8.41</v>
      </c>
      <c r="V32" s="238">
        <f t="shared" si="18"/>
        <v>0</v>
      </c>
      <c r="W32" s="238">
        <f t="shared" si="18"/>
        <v>0</v>
      </c>
      <c r="X32" s="238">
        <f t="shared" si="18"/>
        <v>3.2</v>
      </c>
      <c r="Y32" s="277">
        <f t="shared" si="18"/>
        <v>3.2</v>
      </c>
      <c r="Z32" s="238">
        <f t="shared" si="18"/>
        <v>8.4079999999999995</v>
      </c>
      <c r="AA32" s="435">
        <f t="shared" si="18"/>
        <v>8.41</v>
      </c>
      <c r="AB32" s="238">
        <f t="shared" si="18"/>
        <v>89.507999999999996</v>
      </c>
      <c r="AC32" s="185">
        <f t="shared" si="18"/>
        <v>89.507999999999996</v>
      </c>
      <c r="AD32" s="238">
        <f t="shared" si="18"/>
        <v>0</v>
      </c>
      <c r="AE32" s="238">
        <f t="shared" si="18"/>
        <v>0</v>
      </c>
      <c r="AF32" s="238">
        <f t="shared" si="18"/>
        <v>148.51499999999999</v>
      </c>
      <c r="AG32" s="238">
        <f t="shared" si="18"/>
        <v>0</v>
      </c>
      <c r="AH32" s="239" t="s">
        <v>430</v>
      </c>
      <c r="AI32" s="258"/>
    </row>
    <row r="33" spans="1:35" s="22" customFormat="1" ht="48" customHeight="1" x14ac:dyDescent="0.25">
      <c r="A33" s="532"/>
      <c r="B33" s="579"/>
      <c r="C33" s="73" t="s">
        <v>21</v>
      </c>
      <c r="D33" s="74">
        <f>SUM(J33,L33,N33,P33,R33,T33,V33,X33,Z33,AB33,AD33,AF33)</f>
        <v>649.4</v>
      </c>
      <c r="E33" s="420">
        <f>J33+L33+N33+P33+R33+T33+V33+X33+Z33+AB33</f>
        <v>500.88499999999999</v>
      </c>
      <c r="F33" s="74">
        <f>G33</f>
        <v>494.73200000000003</v>
      </c>
      <c r="G33" s="171">
        <f>SUM(K33,M33,O33,Q33,S33,U33,W33,Y33,AA33,AC33,AE33,AG33)</f>
        <v>494.73200000000003</v>
      </c>
      <c r="H33" s="74">
        <f t="shared" si="14"/>
        <v>76.18293809670466</v>
      </c>
      <c r="I33" s="74">
        <f t="shared" si="15"/>
        <v>98.771574313465166</v>
      </c>
      <c r="J33" s="67">
        <v>0</v>
      </c>
      <c r="K33" s="208">
        <v>0</v>
      </c>
      <c r="L33" s="67">
        <v>267.029</v>
      </c>
      <c r="M33" s="270">
        <v>245.54400000000001</v>
      </c>
      <c r="N33" s="67">
        <v>15.332000000000001</v>
      </c>
      <c r="O33" s="86">
        <v>15.33</v>
      </c>
      <c r="P33" s="67">
        <v>0</v>
      </c>
      <c r="Q33" s="338">
        <v>15.33</v>
      </c>
      <c r="R33" s="67">
        <v>109</v>
      </c>
      <c r="S33" s="333">
        <v>109</v>
      </c>
      <c r="T33" s="67">
        <v>8.4079999999999995</v>
      </c>
      <c r="U33" s="67">
        <v>8.41</v>
      </c>
      <c r="V33" s="67">
        <v>0</v>
      </c>
      <c r="W33" s="394">
        <v>0</v>
      </c>
      <c r="X33" s="67">
        <v>3.2</v>
      </c>
      <c r="Y33" s="413">
        <v>3.2</v>
      </c>
      <c r="Z33" s="67">
        <v>8.4079999999999995</v>
      </c>
      <c r="AA33" s="437">
        <v>8.41</v>
      </c>
      <c r="AB33" s="67">
        <v>89.507999999999996</v>
      </c>
      <c r="AC33" s="193">
        <v>89.507999999999996</v>
      </c>
      <c r="AD33" s="67">
        <v>0</v>
      </c>
      <c r="AE33" s="67">
        <v>0</v>
      </c>
      <c r="AF33" s="67">
        <v>148.51499999999999</v>
      </c>
      <c r="AG33" s="67">
        <v>0</v>
      </c>
      <c r="AH33" s="75"/>
      <c r="AI33" s="20"/>
    </row>
    <row r="34" spans="1:35" s="248" customFormat="1" ht="202.5" customHeight="1" x14ac:dyDescent="0.25">
      <c r="A34" s="530" t="s">
        <v>234</v>
      </c>
      <c r="B34" s="578" t="s">
        <v>235</v>
      </c>
      <c r="C34" s="243" t="s">
        <v>20</v>
      </c>
      <c r="D34" s="244">
        <f>D35</f>
        <v>10302.698000000002</v>
      </c>
      <c r="E34" s="418">
        <f t="shared" si="10"/>
        <v>8571.8990000000013</v>
      </c>
      <c r="F34" s="244">
        <f t="shared" si="10"/>
        <v>7734.1319999999996</v>
      </c>
      <c r="G34" s="403">
        <f>G35</f>
        <v>7734.1319999999996</v>
      </c>
      <c r="H34" s="244">
        <f t="shared" si="14"/>
        <v>75.068996490045606</v>
      </c>
      <c r="I34" s="244">
        <f t="shared" si="15"/>
        <v>90.226588064091729</v>
      </c>
      <c r="J34" s="245">
        <f t="shared" ref="J34:AG34" si="19">J35</f>
        <v>1134.617</v>
      </c>
      <c r="K34" s="245">
        <f t="shared" si="19"/>
        <v>616.49099999999999</v>
      </c>
      <c r="L34" s="245">
        <f t="shared" si="19"/>
        <v>829.61199999999997</v>
      </c>
      <c r="M34" s="268">
        <f t="shared" si="19"/>
        <v>974.96900000000005</v>
      </c>
      <c r="N34" s="245">
        <f t="shared" si="19"/>
        <v>690.95899999999995</v>
      </c>
      <c r="O34" s="83">
        <f t="shared" si="19"/>
        <v>494.72199999999998</v>
      </c>
      <c r="P34" s="245">
        <f t="shared" si="19"/>
        <v>1174.3130000000001</v>
      </c>
      <c r="Q34" s="221">
        <f t="shared" si="19"/>
        <v>560.24199999999996</v>
      </c>
      <c r="R34" s="245">
        <f t="shared" si="19"/>
        <v>736.98199999999997</v>
      </c>
      <c r="S34" s="331">
        <f t="shared" si="19"/>
        <v>901.12</v>
      </c>
      <c r="T34" s="245">
        <f t="shared" si="19"/>
        <v>629.68200000000002</v>
      </c>
      <c r="U34" s="245">
        <f t="shared" si="19"/>
        <v>1198.73</v>
      </c>
      <c r="V34" s="245">
        <f t="shared" si="19"/>
        <v>1156.29</v>
      </c>
      <c r="W34" s="238">
        <f t="shared" si="19"/>
        <v>768.42100000000005</v>
      </c>
      <c r="X34" s="245">
        <f t="shared" si="19"/>
        <v>819.029</v>
      </c>
      <c r="Y34" s="277">
        <f t="shared" si="19"/>
        <v>509.95299999999997</v>
      </c>
      <c r="Z34" s="245">
        <f t="shared" si="19"/>
        <v>665.33199999999999</v>
      </c>
      <c r="AA34" s="435">
        <f t="shared" si="19"/>
        <v>641.6</v>
      </c>
      <c r="AB34" s="245">
        <f t="shared" si="19"/>
        <v>735.08299999999997</v>
      </c>
      <c r="AC34" s="185">
        <f t="shared" si="19"/>
        <v>1067.884</v>
      </c>
      <c r="AD34" s="245">
        <f t="shared" si="19"/>
        <v>629.68200000000002</v>
      </c>
      <c r="AE34" s="245">
        <f t="shared" si="19"/>
        <v>0</v>
      </c>
      <c r="AF34" s="245">
        <f t="shared" si="19"/>
        <v>1101.117</v>
      </c>
      <c r="AG34" s="245">
        <f t="shared" si="19"/>
        <v>0</v>
      </c>
      <c r="AH34" s="359" t="s">
        <v>361</v>
      </c>
      <c r="AI34" s="247"/>
    </row>
    <row r="35" spans="1:35" s="18" customFormat="1" ht="119.25" customHeight="1" x14ac:dyDescent="0.25">
      <c r="A35" s="532"/>
      <c r="B35" s="579"/>
      <c r="C35" s="73" t="s">
        <v>22</v>
      </c>
      <c r="D35" s="74">
        <f>SUM(J35,L35,N35,P35,R35,T35,V35,X35,Z35,AB35,AD35,AF35)</f>
        <v>10302.698000000002</v>
      </c>
      <c r="E35" s="420">
        <f>J35+L35+N35+P35+R35+T35+V35+X35+Z35+AB35</f>
        <v>8571.8990000000013</v>
      </c>
      <c r="F35" s="74">
        <f>G35</f>
        <v>7734.1319999999996</v>
      </c>
      <c r="G35" s="171">
        <f>SUM(K35,M35,O35,Q35,S35,U35,W35,Y35,AA35,AC35,AE35,AG35)</f>
        <v>7734.1319999999996</v>
      </c>
      <c r="H35" s="74">
        <f t="shared" si="14"/>
        <v>75.068996490045606</v>
      </c>
      <c r="I35" s="74">
        <f t="shared" si="15"/>
        <v>90.226588064091729</v>
      </c>
      <c r="J35" s="67">
        <v>1134.617</v>
      </c>
      <c r="K35" s="208">
        <v>616.49099999999999</v>
      </c>
      <c r="L35" s="67">
        <v>829.61199999999997</v>
      </c>
      <c r="M35" s="270">
        <v>974.96900000000005</v>
      </c>
      <c r="N35" s="67">
        <v>690.95899999999995</v>
      </c>
      <c r="O35" s="86">
        <v>494.72199999999998</v>
      </c>
      <c r="P35" s="67">
        <v>1174.3130000000001</v>
      </c>
      <c r="Q35" s="338">
        <v>560.24199999999996</v>
      </c>
      <c r="R35" s="67">
        <v>736.98199999999997</v>
      </c>
      <c r="S35" s="333">
        <v>901.12</v>
      </c>
      <c r="T35" s="67">
        <v>629.68200000000002</v>
      </c>
      <c r="U35" s="67">
        <v>1198.73</v>
      </c>
      <c r="V35" s="67">
        <v>1156.29</v>
      </c>
      <c r="W35" s="394">
        <v>768.42100000000005</v>
      </c>
      <c r="X35" s="67">
        <v>819.029</v>
      </c>
      <c r="Y35" s="413">
        <v>509.95299999999997</v>
      </c>
      <c r="Z35" s="67">
        <v>665.33199999999999</v>
      </c>
      <c r="AA35" s="437">
        <v>641.6</v>
      </c>
      <c r="AB35" s="67">
        <v>735.08299999999997</v>
      </c>
      <c r="AC35" s="193">
        <v>1067.884</v>
      </c>
      <c r="AD35" s="67">
        <v>629.68200000000002</v>
      </c>
      <c r="AE35" s="67">
        <v>0</v>
      </c>
      <c r="AF35" s="67">
        <v>1101.117</v>
      </c>
      <c r="AG35" s="67">
        <v>0</v>
      </c>
      <c r="AH35" s="75"/>
      <c r="AI35" s="19"/>
    </row>
    <row r="36" spans="1:35" s="22" customFormat="1" ht="18.75" customHeight="1" x14ac:dyDescent="0.25">
      <c r="A36" s="132" t="s">
        <v>156</v>
      </c>
      <c r="B36" s="596" t="s">
        <v>32</v>
      </c>
      <c r="C36" s="597"/>
      <c r="D36" s="597"/>
      <c r="E36" s="597"/>
      <c r="F36" s="597"/>
      <c r="G36" s="597"/>
      <c r="H36" s="597"/>
      <c r="I36" s="597"/>
      <c r="J36" s="597"/>
      <c r="K36" s="597"/>
      <c r="L36" s="597"/>
      <c r="M36" s="597"/>
      <c r="N36" s="597"/>
      <c r="O36" s="597"/>
      <c r="P36" s="597"/>
      <c r="Q36" s="597"/>
      <c r="R36" s="597"/>
      <c r="S36" s="597"/>
      <c r="T36" s="597"/>
      <c r="U36" s="597"/>
      <c r="V36" s="597"/>
      <c r="W36" s="597"/>
      <c r="X36" s="597"/>
      <c r="Y36" s="597"/>
      <c r="Z36" s="597"/>
      <c r="AA36" s="597"/>
      <c r="AB36" s="597"/>
      <c r="AC36" s="597"/>
      <c r="AD36" s="597"/>
      <c r="AE36" s="597"/>
      <c r="AF36" s="597"/>
      <c r="AG36" s="598"/>
      <c r="AH36" s="75"/>
    </row>
    <row r="37" spans="1:35" s="257" customFormat="1" ht="82.5" customHeight="1" x14ac:dyDescent="0.25">
      <c r="A37" s="530" t="s">
        <v>157</v>
      </c>
      <c r="B37" s="578" t="s">
        <v>236</v>
      </c>
      <c r="C37" s="240" t="s">
        <v>20</v>
      </c>
      <c r="D37" s="241">
        <f>D38</f>
        <v>6320.1999999999989</v>
      </c>
      <c r="E37" s="418">
        <f t="shared" si="10"/>
        <v>5436.0149999999994</v>
      </c>
      <c r="F37" s="241">
        <f t="shared" si="10"/>
        <v>5024.3620000000001</v>
      </c>
      <c r="G37" s="406">
        <f t="shared" si="10"/>
        <v>5024.3620000000001</v>
      </c>
      <c r="H37" s="241">
        <f>IFERROR(G37/D37*100,0)</f>
        <v>79.49688301003134</v>
      </c>
      <c r="I37" s="241">
        <f>IFERROR(G37/E37*100,0)</f>
        <v>92.427301985001904</v>
      </c>
      <c r="J37" s="242">
        <f t="shared" ref="J37:AG37" si="20">J38</f>
        <v>910.76800000000003</v>
      </c>
      <c r="K37" s="242">
        <f t="shared" si="20"/>
        <v>497.447</v>
      </c>
      <c r="L37" s="242">
        <f t="shared" si="20"/>
        <v>544.96299999999997</v>
      </c>
      <c r="M37" s="268">
        <f t="shared" si="20"/>
        <v>676.79100000000005</v>
      </c>
      <c r="N37" s="242">
        <f t="shared" si="20"/>
        <v>375.82799999999997</v>
      </c>
      <c r="O37" s="83">
        <f t="shared" si="20"/>
        <v>393.79399999999998</v>
      </c>
      <c r="P37" s="242">
        <f t="shared" si="20"/>
        <v>646.00599999999997</v>
      </c>
      <c r="Q37" s="221">
        <f t="shared" si="20"/>
        <v>436.30599999999998</v>
      </c>
      <c r="R37" s="242">
        <f t="shared" si="20"/>
        <v>495.11399999999998</v>
      </c>
      <c r="S37" s="331">
        <f t="shared" si="20"/>
        <v>0</v>
      </c>
      <c r="T37" s="242">
        <f t="shared" si="20"/>
        <v>375.82799999999997</v>
      </c>
      <c r="U37" s="242">
        <f t="shared" si="20"/>
        <v>699.49</v>
      </c>
      <c r="V37" s="242">
        <f t="shared" si="20"/>
        <v>646.00599999999997</v>
      </c>
      <c r="W37" s="238">
        <f t="shared" si="20"/>
        <v>652.30100000000004</v>
      </c>
      <c r="X37" s="242">
        <f t="shared" si="20"/>
        <v>603.20299999999997</v>
      </c>
      <c r="Y37" s="277">
        <f t="shared" si="20"/>
        <v>403.93400000000003</v>
      </c>
      <c r="Z37" s="242">
        <f t="shared" si="20"/>
        <v>408.471</v>
      </c>
      <c r="AA37" s="435">
        <f t="shared" si="20"/>
        <v>667.55</v>
      </c>
      <c r="AB37" s="242">
        <f t="shared" si="20"/>
        <v>429.82799999999997</v>
      </c>
      <c r="AC37" s="185">
        <f t="shared" si="20"/>
        <v>596.74900000000002</v>
      </c>
      <c r="AD37" s="242">
        <f t="shared" si="20"/>
        <v>429.82799999999997</v>
      </c>
      <c r="AE37" s="242">
        <f t="shared" si="20"/>
        <v>0</v>
      </c>
      <c r="AF37" s="242">
        <f t="shared" si="20"/>
        <v>454.35700000000003</v>
      </c>
      <c r="AG37" s="242">
        <f t="shared" si="20"/>
        <v>0</v>
      </c>
      <c r="AH37" s="360" t="s">
        <v>428</v>
      </c>
      <c r="AI37" s="256"/>
    </row>
    <row r="38" spans="1:35" s="22" customFormat="1" ht="63.75" customHeight="1" x14ac:dyDescent="0.25">
      <c r="A38" s="532"/>
      <c r="B38" s="579"/>
      <c r="C38" s="73" t="s">
        <v>21</v>
      </c>
      <c r="D38" s="74">
        <f>SUM(J38,L38,N38,P38,R38,T38,V38,X38,Z38,AB38,AD38,AF38)</f>
        <v>6320.1999999999989</v>
      </c>
      <c r="E38" s="420">
        <f>J38+L38+N38+P38+R38+T38+V38+X38+Z38+AB38</f>
        <v>5436.0149999999994</v>
      </c>
      <c r="F38" s="74">
        <f>G38</f>
        <v>5024.3620000000001</v>
      </c>
      <c r="G38" s="171">
        <f>SUM(K38,M38,O38,Q38,S38,U38,W38,Y38,AA38,AC38,AE38,AG38)</f>
        <v>5024.3620000000001</v>
      </c>
      <c r="H38" s="74">
        <f>IFERROR(G38/D38*100,0)</f>
        <v>79.49688301003134</v>
      </c>
      <c r="I38" s="74">
        <f>IFERROR(G38/E38*100,0)</f>
        <v>92.427301985001904</v>
      </c>
      <c r="J38" s="67">
        <v>910.76800000000003</v>
      </c>
      <c r="K38" s="208">
        <v>497.447</v>
      </c>
      <c r="L38" s="67">
        <v>544.96299999999997</v>
      </c>
      <c r="M38" s="270">
        <v>676.79100000000005</v>
      </c>
      <c r="N38" s="67">
        <v>375.82799999999997</v>
      </c>
      <c r="O38" s="86">
        <v>393.79399999999998</v>
      </c>
      <c r="P38" s="67">
        <v>646.00599999999997</v>
      </c>
      <c r="Q38" s="338">
        <v>436.30599999999998</v>
      </c>
      <c r="R38" s="67">
        <v>495.11399999999998</v>
      </c>
      <c r="S38" s="333">
        <v>0</v>
      </c>
      <c r="T38" s="67">
        <v>375.82799999999997</v>
      </c>
      <c r="U38" s="67">
        <v>699.49</v>
      </c>
      <c r="V38" s="67">
        <v>646.00599999999997</v>
      </c>
      <c r="W38" s="394">
        <v>652.30100000000004</v>
      </c>
      <c r="X38" s="67">
        <v>603.20299999999997</v>
      </c>
      <c r="Y38" s="413">
        <v>403.93400000000003</v>
      </c>
      <c r="Z38" s="67">
        <v>408.471</v>
      </c>
      <c r="AA38" s="437">
        <v>667.55</v>
      </c>
      <c r="AB38" s="67">
        <v>429.82799999999997</v>
      </c>
      <c r="AC38" s="193">
        <v>596.74900000000002</v>
      </c>
      <c r="AD38" s="67">
        <v>429.82799999999997</v>
      </c>
      <c r="AE38" s="67">
        <v>0</v>
      </c>
      <c r="AF38" s="67">
        <v>454.35700000000003</v>
      </c>
      <c r="AG38" s="67">
        <v>0</v>
      </c>
      <c r="AH38" s="75"/>
      <c r="AI38" s="20"/>
    </row>
  </sheetData>
  <customSheetViews>
    <customSheetView guid="{133BB3F8-8DD4-4AEF-8CD6-A5FB14681329}" scale="80" state="hidden">
      <pane xSplit="6" ySplit="7" topLeftCell="G8" activePane="bottomRight" state="frozen"/>
      <selection pane="bottomRight" activeCell="F6" sqref="F6"/>
      <pageMargins left="0.7" right="0.7" top="0.75" bottom="0.75" header="0.3" footer="0.3"/>
      <pageSetup paperSize="9" orientation="portrait" r:id="rId1"/>
    </customSheetView>
    <customSheetView guid="{7C5A2A36-3D69-43D9-9018-A52C27EC78F9}" scale="80">
      <pane xSplit="6" ySplit="7" topLeftCell="G8" activePane="bottomRight" state="frozen"/>
      <selection pane="bottomRight" activeCell="B16" sqref="B16:B17"/>
      <pageMargins left="0.7" right="0.7" top="0.75" bottom="0.75" header="0.3" footer="0.3"/>
      <pageSetup paperSize="9" orientation="portrait" r:id="rId2"/>
    </customSheetView>
    <customSheetView guid="{2A5A11D4-90C6-4A3E-8165-7D7BD634B22F}" scale="80">
      <pane xSplit="6" ySplit="7" topLeftCell="G8" activePane="bottomRight" state="frozen"/>
      <selection pane="bottomRight" activeCell="B16" sqref="B16:B17"/>
      <pageMargins left="0.7" right="0.7" top="0.75" bottom="0.75" header="0.3" footer="0.3"/>
      <pageSetup paperSize="9" orientation="portrait" r:id="rId3"/>
    </customSheetView>
    <customSheetView guid="{996EC2F0-F6EC-4E63-A83E-34865157BD8D}" scale="80">
      <pane xSplit="6" ySplit="7" topLeftCell="G33" activePane="bottomRight" state="frozen"/>
      <selection pane="bottomRight" activeCell="K40" sqref="K40"/>
      <pageMargins left="0.7" right="0.7" top="0.75" bottom="0.75" header="0.3" footer="0.3"/>
      <pageSetup paperSize="9" orientation="portrait" r:id="rId4"/>
    </customSheetView>
    <customSheetView guid="{AB9978E4-895D-4050-8F07-2484E22632D1}" scale="80">
      <pane xSplit="6" ySplit="7" topLeftCell="U8" activePane="bottomRight" state="frozen"/>
      <selection pane="bottomRight" activeCell="G6" sqref="G6"/>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B16" sqref="B16:B17"/>
      <pageMargins left="0.7" right="0.7" top="0.75" bottom="0.75" header="0.3" footer="0.3"/>
      <pageSetup paperSize="9" orientation="portrait" r:id="rId6"/>
    </customSheetView>
    <customSheetView guid="{2940A182-D1A7-43C5-8D6E-965BED4371B0}" scale="80">
      <pane xSplit="6" ySplit="7" topLeftCell="G8" activePane="bottomRight" state="frozen"/>
      <selection pane="bottomRight" activeCell="B16" sqref="B16:B17"/>
      <pageMargins left="0.7" right="0.7" top="0.75" bottom="0.75" header="0.3" footer="0.3"/>
      <pageSetup paperSize="9" orientation="portrait" r:id="rId7"/>
    </customSheetView>
    <customSheetView guid="{A0E2FBF6-E560-4343-8BE6-217DC798135B}" scale="80">
      <pane xSplit="6" ySplit="7" topLeftCell="G8" activePane="bottomRight" state="frozen"/>
      <selection pane="bottomRight" activeCell="K40" sqref="K40"/>
      <pageMargins left="0.7" right="0.7" top="0.75" bottom="0.75" header="0.3" footer="0.3"/>
      <pageSetup paperSize="9" orientation="portrait" r:id="rId8"/>
    </customSheetView>
    <customSheetView guid="{BBF6B43F-E0FC-43DF-B91C-674F6AB4B556}" scale="80">
      <pane xSplit="6" ySplit="7" topLeftCell="G8" activePane="bottomRight" state="frozen"/>
      <selection pane="bottomRight" activeCell="I9" sqref="I9"/>
      <pageMargins left="0.7" right="0.7" top="0.75" bottom="0.75" header="0.3" footer="0.3"/>
      <pageSetup paperSize="9" orientation="portrait" r:id="rId9"/>
    </customSheetView>
    <customSheetView guid="{C68436F4-AFB3-4D1D-A7C4-56D0C677D68E}" scale="80">
      <pane xSplit="6" ySplit="7" topLeftCell="G8" activePane="bottomRight" state="frozen"/>
      <selection pane="bottomRight" activeCell="O18" sqref="O18"/>
      <pageMargins left="0.7" right="0.7" top="0.75" bottom="0.75" header="0.3" footer="0.3"/>
      <pageSetup paperSize="9" orientation="portrait" r:id="rId10"/>
    </customSheetView>
    <customSheetView guid="{DAEDC989-02E7-4319-8354-59410ACF3F1F}" scale="80">
      <pane xSplit="6" ySplit="7" topLeftCell="G8" activePane="bottomRight" state="frozen"/>
      <selection pane="bottomRight" activeCell="B16" sqref="B16:B17"/>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D14" sqref="D14"/>
      <pageMargins left="0.7" right="0.7" top="0.75" bottom="0.75" header="0.3" footer="0.3"/>
      <pageSetup paperSize="9" orientation="portrait" r:id="rId12"/>
    </customSheetView>
    <customSheetView guid="{C7DC638A-7F60-46C9-A1FB-9ADEAE87F332}" scale="80">
      <pane xSplit="6" ySplit="7" topLeftCell="G8" activePane="bottomRight" state="frozen"/>
      <selection pane="bottomRight" activeCell="B16" sqref="B16:B17"/>
      <pageMargins left="0.7" right="0.7" top="0.75" bottom="0.75" header="0.3" footer="0.3"/>
      <pageSetup paperSize="9" orientation="portrait" r:id="rId13"/>
    </customSheetView>
    <customSheetView guid="{C01DC081-B312-4391-B775-A8CE76216D71}" scale="80">
      <pane xSplit="6" ySplit="7" topLeftCell="G8" activePane="bottomRight" state="frozen"/>
      <selection pane="bottomRight" activeCell="G18" sqref="G18"/>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B16" sqref="B16:B17"/>
      <pageMargins left="0.7" right="0.7" top="0.75" bottom="0.75" header="0.3" footer="0.3"/>
      <pageSetup paperSize="9" orientation="portrait" r:id="rId15"/>
    </customSheetView>
    <customSheetView guid="{A7640BE7-6438-4196-9A67-AF5B992A1E70}" scale="80">
      <pane xSplit="6" ySplit="7" topLeftCell="G8" activePane="bottomRight" state="frozen"/>
      <selection pane="bottomRight" activeCell="G6" sqref="G6"/>
      <pageMargins left="0.7" right="0.7" top="0.75" bottom="0.75" header="0.3" footer="0.3"/>
      <pageSetup paperSize="9" orientation="portrait" r:id="rId16"/>
    </customSheetView>
    <customSheetView guid="{30B635D9-57DB-47D5-8A0F-4B30DD769960}" scale="80">
      <pane xSplit="6" ySplit="7" topLeftCell="G8" activePane="bottomRight" state="frozen"/>
      <selection pane="bottomRight" activeCell="I9" sqref="I9"/>
      <pageMargins left="0.7" right="0.7" top="0.75" bottom="0.75" header="0.3" footer="0.3"/>
      <pageSetup paperSize="9" orientation="portrait" r:id="rId17"/>
    </customSheetView>
    <customSheetView guid="{20A05A62-CBE8-4538-BBC3-2AD9D3B8FAC0}" scale="80">
      <pane xSplit="6" ySplit="7" topLeftCell="G8" activePane="bottomRight" state="frozen"/>
      <selection pane="bottomRight" activeCell="B16" sqref="B16:B17"/>
      <pageMargins left="0.7" right="0.7" top="0.75" bottom="0.75" header="0.3" footer="0.3"/>
      <pageSetup paperSize="9" orientation="portrait" r:id="rId18"/>
    </customSheetView>
    <customSheetView guid="{C282AA4E-1BB5-4296-9AC6-844C0F88E5FC}" scale="80">
      <pane xSplit="6" ySplit="7" topLeftCell="G8" activePane="bottomRight" state="frozen"/>
      <selection pane="bottomRight" activeCell="B16" sqref="B16:B17"/>
      <pageMargins left="0.7" right="0.7" top="0.75" bottom="0.75" header="0.3" footer="0.3"/>
      <pageSetup paperSize="9" orientation="portrait" r:id="rId19"/>
    </customSheetView>
    <customSheetView guid="{4E221C17-6DAB-4FFA-B18C-35D4D85AF6E8}" scale="80">
      <pane xSplit="6" ySplit="7" topLeftCell="W8" activePane="bottomRight" state="frozen"/>
      <selection pane="bottomRight" activeCell="X8" sqref="X8"/>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B16" sqref="B16:B17"/>
      <pageMargins left="0.7" right="0.7" top="0.75" bottom="0.75" header="0.3" footer="0.3"/>
      <pageSetup paperSize="9" orientation="portrait" r:id="rId21"/>
    </customSheetView>
    <customSheetView guid="{F528EF6A-C113-49B5-B25F-D660F898CBFB}" scale="80">
      <pane xSplit="6" ySplit="7" topLeftCell="G8" activePane="bottomRight" state="frozen"/>
      <selection pane="bottomRight" activeCell="B16" sqref="B16:B17"/>
      <pageMargins left="0.7" right="0.7" top="0.75" bottom="0.75" header="0.3" footer="0.3"/>
      <pageSetup paperSize="9" orientation="portrait" r:id="rId22"/>
    </customSheetView>
    <customSheetView guid="{B6B60ED6-A6CC-4DA7-A8CA-5E6DB52D5A87}" scale="80">
      <pane xSplit="6" ySplit="7" topLeftCell="G8" activePane="bottomRight" state="frozen"/>
      <selection pane="bottomRight" activeCell="I9" sqref="I9"/>
      <pageMargins left="0.7" right="0.7" top="0.75" bottom="0.75" header="0.3" footer="0.3"/>
      <pageSetup paperSize="9" orientation="portrait" r:id="rId23"/>
    </customSheetView>
    <customSheetView guid="{A4AF2100-C59D-4F60-9EAB-56D9103463F7}" scale="80">
      <pane xSplit="6" ySplit="7" topLeftCell="G33" activePane="bottomRight" state="frozen"/>
      <selection pane="bottomRight" activeCell="K40" sqref="K40"/>
      <pageMargins left="0.7" right="0.7" top="0.75" bottom="0.75" header="0.3" footer="0.3"/>
      <pageSetup paperSize="9" orientation="portrait" r:id="rId24"/>
    </customSheetView>
    <customSheetView guid="{EA46B61D-849C-4795-A4FF-F8F1740022EB}" scale="80">
      <pane xSplit="6" ySplit="7" topLeftCell="N35" activePane="bottomRight" state="frozen"/>
      <selection pane="bottomRight" activeCell="M14" sqref="M14"/>
      <pageMargins left="0.7" right="0.7" top="0.75" bottom="0.75" header="0.3" footer="0.3"/>
      <pageSetup paperSize="9" orientation="portrait" r:id="rId25"/>
    </customSheetView>
    <customSheetView guid="{B686A221-D885-4536-BEAC-E7F4BBC02150}" scale="80">
      <pane xSplit="6" ySplit="7" topLeftCell="G8" activePane="bottomRight" state="frozen"/>
      <selection pane="bottomRight" activeCell="I9" sqref="I9"/>
      <pageMargins left="0.7" right="0.7" top="0.75" bottom="0.75" header="0.3" footer="0.3"/>
      <pageSetup paperSize="9" orientation="portrait" r:id="rId26"/>
    </customSheetView>
    <customSheetView guid="{60A1F930-4BEC-460A-8E14-01E47F6DD055}" scale="80">
      <pane xSplit="6" ySplit="4" topLeftCell="G8" activePane="bottomRight" state="frozen"/>
      <selection pane="bottomRight" activeCell="B16" sqref="B16:B17"/>
      <pageMargins left="0.7" right="0.7" top="0.75" bottom="0.75" header="0.3" footer="0.3"/>
      <pageSetup paperSize="9" orientation="portrait" r:id="rId27"/>
    </customSheetView>
    <customSheetView guid="{5DF2C78B-5EE4-439D-8D72-8D3A913B65F9}" scale="80">
      <pane xSplit="6" ySplit="7" topLeftCell="G8" activePane="bottomRight" state="frozen"/>
      <selection pane="bottomRight" activeCell="B16" sqref="B16:B17"/>
      <pageMargins left="0.7" right="0.7" top="0.75" bottom="0.75" header="0.3" footer="0.3"/>
      <pageSetup paperSize="9" orientation="portrait" r:id="rId28"/>
    </customSheetView>
  </customSheetViews>
  <mergeCells count="50">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A28:A29"/>
    <mergeCell ref="B28:B29"/>
    <mergeCell ref="A16:A17"/>
    <mergeCell ref="B16:B17"/>
    <mergeCell ref="A18:A20"/>
    <mergeCell ref="B18:B20"/>
    <mergeCell ref="A21:A22"/>
    <mergeCell ref="B21:B22"/>
    <mergeCell ref="A23:A24"/>
    <mergeCell ref="B23:B24"/>
    <mergeCell ref="A25:A26"/>
    <mergeCell ref="B25:B26"/>
    <mergeCell ref="B27:AG27"/>
    <mergeCell ref="B36:AG36"/>
    <mergeCell ref="A37:A38"/>
    <mergeCell ref="B37:B38"/>
    <mergeCell ref="A30:A31"/>
    <mergeCell ref="B30:B31"/>
    <mergeCell ref="A32:A33"/>
    <mergeCell ref="B32:B33"/>
    <mergeCell ref="A34:A35"/>
    <mergeCell ref="B34:B35"/>
  </mergeCells>
  <pageMargins left="0.7" right="0.7" top="0.75" bottom="0.75" header="0.3" footer="0.3"/>
  <pageSetup paperSize="9" orientation="portrait" r:id="rId2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9"/>
  <sheetViews>
    <sheetView zoomScale="80" zoomScaleNormal="80" workbookViewId="0">
      <pane xSplit="6" ySplit="7" topLeftCell="G8" activePane="bottomRight" state="frozen"/>
      <selection pane="topRight" activeCell="G1" sqref="G1"/>
      <selection pane="bottomLeft" activeCell="A8" sqref="A8"/>
      <selection pane="bottomRight" activeCell="F6" sqref="F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3.14062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35" width="13.42578125" style="8" bestFit="1" customWidth="1"/>
    <col min="36"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512" t="s">
        <v>24</v>
      </c>
      <c r="D2" s="512"/>
      <c r="E2" s="512"/>
      <c r="F2" s="512"/>
      <c r="G2" s="512"/>
      <c r="H2" s="512"/>
      <c r="I2" s="512"/>
      <c r="J2" s="512"/>
      <c r="K2" s="512"/>
      <c r="L2" s="512"/>
      <c r="M2" s="512"/>
      <c r="N2" s="512"/>
      <c r="O2" s="512"/>
      <c r="P2" s="512"/>
      <c r="Q2" s="512"/>
      <c r="R2" s="512"/>
      <c r="S2" s="512"/>
      <c r="T2" s="93"/>
      <c r="U2" s="93"/>
      <c r="V2" s="93"/>
      <c r="W2" s="93"/>
      <c r="X2" s="93"/>
      <c r="Y2" s="93"/>
      <c r="Z2" s="93"/>
      <c r="AA2" s="93"/>
      <c r="AB2" s="93"/>
      <c r="AC2" s="93"/>
      <c r="AD2" s="93"/>
      <c r="AE2" s="93"/>
      <c r="AF2" s="93"/>
      <c r="AG2" s="93"/>
      <c r="AH2" s="93"/>
    </row>
    <row r="3" spans="1:35" ht="36.75" customHeight="1" x14ac:dyDescent="0.25">
      <c r="A3" s="92"/>
      <c r="B3" s="92"/>
      <c r="C3" s="513" t="s">
        <v>180</v>
      </c>
      <c r="D3" s="513"/>
      <c r="E3" s="513"/>
      <c r="F3" s="513"/>
      <c r="G3" s="513"/>
      <c r="H3" s="513"/>
      <c r="I3" s="513"/>
      <c r="J3" s="513"/>
      <c r="K3" s="513"/>
      <c r="L3" s="513"/>
      <c r="M3" s="513"/>
      <c r="N3" s="513"/>
      <c r="O3" s="513"/>
      <c r="P3" s="513"/>
      <c r="Q3" s="513"/>
      <c r="R3" s="513"/>
      <c r="S3" s="513"/>
      <c r="T3" s="94"/>
      <c r="U3" s="94"/>
      <c r="V3" s="94"/>
      <c r="W3" s="94"/>
      <c r="X3" s="94"/>
      <c r="Y3" s="94"/>
      <c r="Z3" s="94"/>
      <c r="AA3" s="94"/>
      <c r="AB3" s="94"/>
      <c r="AC3" s="94"/>
      <c r="AD3" s="95"/>
      <c r="AE3" s="95"/>
      <c r="AF3" s="95"/>
      <c r="AG3" s="37" t="s">
        <v>0</v>
      </c>
      <c r="AH3" s="95"/>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39">
        <v>45962</v>
      </c>
      <c r="F6" s="39">
        <v>45962</v>
      </c>
      <c r="G6" s="39">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581"/>
      <c r="B8" s="527" t="s">
        <v>23</v>
      </c>
      <c r="C8" s="57" t="s">
        <v>20</v>
      </c>
      <c r="D8" s="58">
        <f>D9</f>
        <v>55351.937000000005</v>
      </c>
      <c r="E8" s="58">
        <f>E9</f>
        <v>44950.273000000001</v>
      </c>
      <c r="F8" s="58">
        <f>F9</f>
        <v>39917.735999999997</v>
      </c>
      <c r="G8" s="58">
        <f>G9</f>
        <v>39917.735999999997</v>
      </c>
      <c r="H8" s="58">
        <f>IFERROR(G8/D8*100,0)</f>
        <v>72.116240484953565</v>
      </c>
      <c r="I8" s="58">
        <f>IFERROR(G8/E8*100,0)</f>
        <v>88.804212601778858</v>
      </c>
      <c r="J8" s="59">
        <f>J9</f>
        <v>4597.8220000000001</v>
      </c>
      <c r="K8" s="59">
        <f t="shared" ref="K8:AG8" si="0">K9</f>
        <v>2107.8139999999999</v>
      </c>
      <c r="L8" s="59">
        <f t="shared" si="0"/>
        <v>4172.6900000000005</v>
      </c>
      <c r="M8" s="59">
        <f t="shared" si="0"/>
        <v>4669.1530000000002</v>
      </c>
      <c r="N8" s="59">
        <f t="shared" si="0"/>
        <v>4202.8069999999998</v>
      </c>
      <c r="O8" s="59">
        <f t="shared" si="0"/>
        <v>3811.7909999999997</v>
      </c>
      <c r="P8" s="59">
        <f t="shared" si="0"/>
        <v>4791.9809999999998</v>
      </c>
      <c r="Q8" s="59">
        <f t="shared" si="0"/>
        <v>4160.6610000000001</v>
      </c>
      <c r="R8" s="59">
        <f t="shared" si="0"/>
        <v>4433.0919999999996</v>
      </c>
      <c r="S8" s="59">
        <f t="shared" si="0"/>
        <v>3984.8090000000002</v>
      </c>
      <c r="T8" s="59">
        <f t="shared" si="0"/>
        <v>4710.558</v>
      </c>
      <c r="U8" s="59">
        <f t="shared" si="0"/>
        <v>4675.7870000000003</v>
      </c>
      <c r="V8" s="59">
        <f t="shared" si="0"/>
        <v>4896.2469999999994</v>
      </c>
      <c r="W8" s="59">
        <f t="shared" si="0"/>
        <v>4548.5190000000002</v>
      </c>
      <c r="X8" s="59">
        <f t="shared" si="0"/>
        <v>4987.8729999999996</v>
      </c>
      <c r="Y8" s="59">
        <f t="shared" si="0"/>
        <v>4180.4799999999996</v>
      </c>
      <c r="Z8" s="59">
        <f t="shared" si="0"/>
        <v>3967.567</v>
      </c>
      <c r="AA8" s="59">
        <f t="shared" si="0"/>
        <v>4123.3979999999992</v>
      </c>
      <c r="AB8" s="59">
        <f t="shared" si="0"/>
        <v>4189.6360000000004</v>
      </c>
      <c r="AC8" s="59">
        <f t="shared" si="0"/>
        <v>3655.3239999999996</v>
      </c>
      <c r="AD8" s="59">
        <f t="shared" si="0"/>
        <v>3935.72</v>
      </c>
      <c r="AE8" s="59">
        <f t="shared" si="0"/>
        <v>0</v>
      </c>
      <c r="AF8" s="59">
        <f t="shared" si="0"/>
        <v>6465.9440000000004</v>
      </c>
      <c r="AG8" s="59">
        <f t="shared" si="0"/>
        <v>0</v>
      </c>
      <c r="AH8" s="60"/>
      <c r="AI8" s="23">
        <f>E8-G8</f>
        <v>5032.5370000000039</v>
      </c>
    </row>
    <row r="9" spans="1:35" s="22" customFormat="1" ht="38.25" customHeight="1" x14ac:dyDescent="0.25">
      <c r="A9" s="582"/>
      <c r="B9" s="528"/>
      <c r="C9" s="61" t="s">
        <v>21</v>
      </c>
      <c r="D9" s="286">
        <f>SUM(J9,L9,N9,P9,R9,T9,V9,X9,Z9,AB9,AD9,AF9)</f>
        <v>55351.937000000005</v>
      </c>
      <c r="E9" s="286">
        <f>J9+L9+N9+P9+R9+T9+V9+X9+Z9+AB9</f>
        <v>44950.273000000001</v>
      </c>
      <c r="F9" s="286">
        <f>K9+M9+O9+Q9+S9+U9+W9+Y9+AA9+AC9</f>
        <v>39917.735999999997</v>
      </c>
      <c r="G9" s="62">
        <f>K9+M9+O9+Q9+S9+W9+U9+Y9+AA9+AC9++AE9+AG9</f>
        <v>39917.735999999997</v>
      </c>
      <c r="H9" s="62">
        <f>IFERROR(G9/D9*100,0)</f>
        <v>72.116240484953565</v>
      </c>
      <c r="I9" s="62">
        <f>IFERROR(G9/E9*100,0)</f>
        <v>88.804212601778858</v>
      </c>
      <c r="J9" s="62">
        <f t="shared" ref="J9:AG9" si="1">J12+J25+J27</f>
        <v>4597.8220000000001</v>
      </c>
      <c r="K9" s="62">
        <f>K12+K25+K27</f>
        <v>2107.8139999999999</v>
      </c>
      <c r="L9" s="62">
        <f t="shared" si="1"/>
        <v>4172.6900000000005</v>
      </c>
      <c r="M9" s="62">
        <f t="shared" si="1"/>
        <v>4669.1530000000002</v>
      </c>
      <c r="N9" s="62">
        <f t="shared" si="1"/>
        <v>4202.8069999999998</v>
      </c>
      <c r="O9" s="62">
        <f t="shared" si="1"/>
        <v>3811.7909999999997</v>
      </c>
      <c r="P9" s="62">
        <f t="shared" si="1"/>
        <v>4791.9809999999998</v>
      </c>
      <c r="Q9" s="62">
        <f t="shared" si="1"/>
        <v>4160.6610000000001</v>
      </c>
      <c r="R9" s="62">
        <f t="shared" si="1"/>
        <v>4433.0919999999996</v>
      </c>
      <c r="S9" s="62">
        <f t="shared" si="1"/>
        <v>3984.8090000000002</v>
      </c>
      <c r="T9" s="62">
        <f t="shared" si="1"/>
        <v>4710.558</v>
      </c>
      <c r="U9" s="62">
        <f t="shared" si="1"/>
        <v>4675.7870000000003</v>
      </c>
      <c r="V9" s="62">
        <f t="shared" si="1"/>
        <v>4896.2469999999994</v>
      </c>
      <c r="W9" s="62">
        <f t="shared" si="1"/>
        <v>4548.5190000000002</v>
      </c>
      <c r="X9" s="62">
        <f t="shared" si="1"/>
        <v>4987.8729999999996</v>
      </c>
      <c r="Y9" s="62">
        <f t="shared" si="1"/>
        <v>4180.4799999999996</v>
      </c>
      <c r="Z9" s="62">
        <f t="shared" si="1"/>
        <v>3967.567</v>
      </c>
      <c r="AA9" s="62">
        <f t="shared" si="1"/>
        <v>4123.3979999999992</v>
      </c>
      <c r="AB9" s="62">
        <f t="shared" si="1"/>
        <v>4189.6360000000004</v>
      </c>
      <c r="AC9" s="62">
        <f t="shared" si="1"/>
        <v>3655.3239999999996</v>
      </c>
      <c r="AD9" s="62">
        <f t="shared" si="1"/>
        <v>3935.72</v>
      </c>
      <c r="AE9" s="62">
        <f t="shared" si="1"/>
        <v>0</v>
      </c>
      <c r="AF9" s="62">
        <f t="shared" si="1"/>
        <v>6465.9440000000004</v>
      </c>
      <c r="AG9" s="62">
        <f t="shared" si="1"/>
        <v>0</v>
      </c>
      <c r="AH9" s="64"/>
      <c r="AI9" s="23">
        <f>E9-G9</f>
        <v>5032.5370000000039</v>
      </c>
    </row>
    <row r="10" spans="1:35" s="26" customFormat="1" ht="18.75" customHeight="1" x14ac:dyDescent="0.25">
      <c r="A10" s="132" t="s">
        <v>151</v>
      </c>
      <c r="B10" s="596" t="s">
        <v>181</v>
      </c>
      <c r="C10" s="597"/>
      <c r="D10" s="597"/>
      <c r="E10" s="597"/>
      <c r="F10" s="597"/>
      <c r="G10" s="597"/>
      <c r="H10" s="597"/>
      <c r="I10" s="597"/>
      <c r="J10" s="597"/>
      <c r="K10" s="597"/>
      <c r="L10" s="597"/>
      <c r="M10" s="597"/>
      <c r="N10" s="597"/>
      <c r="O10" s="597"/>
      <c r="P10" s="597"/>
      <c r="Q10" s="597"/>
      <c r="R10" s="597"/>
      <c r="S10" s="597"/>
      <c r="T10" s="597"/>
      <c r="U10" s="597"/>
      <c r="V10" s="597"/>
      <c r="W10" s="597"/>
      <c r="X10" s="597"/>
      <c r="Y10" s="597"/>
      <c r="Z10" s="597"/>
      <c r="AA10" s="597"/>
      <c r="AB10" s="597"/>
      <c r="AC10" s="597"/>
      <c r="AD10" s="597"/>
      <c r="AE10" s="597"/>
      <c r="AF10" s="597"/>
      <c r="AG10" s="598"/>
      <c r="AH10" s="75"/>
      <c r="AI10" s="260"/>
    </row>
    <row r="11" spans="1:35" s="21" customFormat="1" ht="88.5" customHeight="1" x14ac:dyDescent="0.25">
      <c r="A11" s="581" t="s">
        <v>152</v>
      </c>
      <c r="B11" s="527" t="s">
        <v>182</v>
      </c>
      <c r="C11" s="57" t="s">
        <v>20</v>
      </c>
      <c r="D11" s="58">
        <f>D12</f>
        <v>6869.4490000000005</v>
      </c>
      <c r="E11" s="58">
        <f>E12</f>
        <v>3924.3220000000001</v>
      </c>
      <c r="F11" s="58">
        <f>F12</f>
        <v>3756.1369999999997</v>
      </c>
      <c r="G11" s="58">
        <f>G12</f>
        <v>3756.1369999999997</v>
      </c>
      <c r="H11" s="58">
        <f t="shared" ref="H11:H24" si="2">IFERROR(G11/D11*100,0)</f>
        <v>54.678868712759922</v>
      </c>
      <c r="I11" s="58">
        <f t="shared" ref="I11:I24" si="3">IFERROR(G11/E11*100,0)</f>
        <v>95.714291538767711</v>
      </c>
      <c r="J11" s="59">
        <f t="shared" ref="J11:AG11" si="4">J12</f>
        <v>232.476</v>
      </c>
      <c r="K11" s="59">
        <f t="shared" si="4"/>
        <v>232.476</v>
      </c>
      <c r="L11" s="59">
        <f t="shared" si="4"/>
        <v>225.904</v>
      </c>
      <c r="M11" s="59">
        <f t="shared" si="4"/>
        <v>225.904</v>
      </c>
      <c r="N11" s="59">
        <f t="shared" si="4"/>
        <v>225.904</v>
      </c>
      <c r="O11" s="59">
        <f t="shared" si="4"/>
        <v>225.904</v>
      </c>
      <c r="P11" s="59">
        <f t="shared" si="4"/>
        <v>228.60399999999998</v>
      </c>
      <c r="Q11" s="59">
        <f t="shared" si="4"/>
        <v>225.904</v>
      </c>
      <c r="R11" s="59">
        <f t="shared" si="4"/>
        <v>230.304</v>
      </c>
      <c r="S11" s="59">
        <f t="shared" si="4"/>
        <v>229.42400000000001</v>
      </c>
      <c r="T11" s="59">
        <f t="shared" si="4"/>
        <v>405.714</v>
      </c>
      <c r="U11" s="59">
        <f t="shared" si="4"/>
        <v>336.41500000000002</v>
      </c>
      <c r="V11" s="59">
        <f t="shared" si="4"/>
        <v>618.36400000000003</v>
      </c>
      <c r="W11" s="59">
        <f t="shared" si="4"/>
        <v>537.96399999999994</v>
      </c>
      <c r="X11" s="59">
        <f t="shared" si="4"/>
        <v>968.46399999999994</v>
      </c>
      <c r="Y11" s="59">
        <f t="shared" si="4"/>
        <v>828.15600000000006</v>
      </c>
      <c r="Z11" s="59">
        <f t="shared" si="4"/>
        <v>446.964</v>
      </c>
      <c r="AA11" s="59">
        <f t="shared" si="4"/>
        <v>579.15499999999997</v>
      </c>
      <c r="AB11" s="59">
        <f t="shared" si="4"/>
        <v>341.62400000000002</v>
      </c>
      <c r="AC11" s="59">
        <f t="shared" si="4"/>
        <v>334.83499999999998</v>
      </c>
      <c r="AD11" s="59">
        <f t="shared" si="4"/>
        <v>270.024</v>
      </c>
      <c r="AE11" s="59">
        <f t="shared" si="4"/>
        <v>0</v>
      </c>
      <c r="AF11" s="59">
        <f t="shared" si="4"/>
        <v>2675.1030000000001</v>
      </c>
      <c r="AG11" s="59">
        <f t="shared" si="4"/>
        <v>0</v>
      </c>
      <c r="AH11" s="60"/>
      <c r="AI11" s="23">
        <f t="shared" ref="AI11:AI22" si="5">E11-G11</f>
        <v>168.1850000000004</v>
      </c>
    </row>
    <row r="12" spans="1:35" s="21" customFormat="1" ht="105.75" customHeight="1" x14ac:dyDescent="0.25">
      <c r="A12" s="583"/>
      <c r="B12" s="529"/>
      <c r="C12" s="61" t="s">
        <v>21</v>
      </c>
      <c r="D12" s="62">
        <f>SUM(J12,L12,N12,P12,R12,T12,V12,X12,Z12,AB12,AD12,AF12)</f>
        <v>6869.4490000000005</v>
      </c>
      <c r="E12" s="62">
        <f>J12+L12+N12+P12+R12+T12+V12+X12+Z12+AB12</f>
        <v>3924.3220000000001</v>
      </c>
      <c r="F12" s="62">
        <f>G12</f>
        <v>3756.1369999999997</v>
      </c>
      <c r="G12" s="62">
        <f>SUM(K12,M12,O12,Q12,S12,U12,W12,Y12,AA12,AC12,AE12,AG12)</f>
        <v>3756.1369999999997</v>
      </c>
      <c r="H12" s="62">
        <f>IFERROR(G12/D12*100,0)</f>
        <v>54.678868712759922</v>
      </c>
      <c r="I12" s="62">
        <f>IFERROR(G12/E12*100,0)</f>
        <v>95.714291538767711</v>
      </c>
      <c r="J12" s="63">
        <f t="shared" ref="J12:AG12" si="6">J14+J16+J18+J20+J22</f>
        <v>232.476</v>
      </c>
      <c r="K12" s="63">
        <f>K14+K16+K18+K20+K22</f>
        <v>232.476</v>
      </c>
      <c r="L12" s="63">
        <f t="shared" si="6"/>
        <v>225.904</v>
      </c>
      <c r="M12" s="63">
        <f t="shared" si="6"/>
        <v>225.904</v>
      </c>
      <c r="N12" s="63">
        <f t="shared" si="6"/>
        <v>225.904</v>
      </c>
      <c r="O12" s="63">
        <f t="shared" si="6"/>
        <v>225.904</v>
      </c>
      <c r="P12" s="63">
        <f>P14+P16+P18+P20+P22</f>
        <v>228.60399999999998</v>
      </c>
      <c r="Q12" s="63">
        <f t="shared" si="6"/>
        <v>225.904</v>
      </c>
      <c r="R12" s="63">
        <f t="shared" si="6"/>
        <v>230.304</v>
      </c>
      <c r="S12" s="63">
        <f t="shared" si="6"/>
        <v>229.42400000000001</v>
      </c>
      <c r="T12" s="63">
        <f t="shared" si="6"/>
        <v>405.714</v>
      </c>
      <c r="U12" s="63">
        <f t="shared" si="6"/>
        <v>336.41500000000002</v>
      </c>
      <c r="V12" s="63">
        <f t="shared" si="6"/>
        <v>618.36400000000003</v>
      </c>
      <c r="W12" s="63">
        <f t="shared" si="6"/>
        <v>537.96399999999994</v>
      </c>
      <c r="X12" s="63">
        <f t="shared" si="6"/>
        <v>968.46399999999994</v>
      </c>
      <c r="Y12" s="63">
        <f t="shared" si="6"/>
        <v>828.15600000000006</v>
      </c>
      <c r="Z12" s="63">
        <f t="shared" si="6"/>
        <v>446.964</v>
      </c>
      <c r="AA12" s="63">
        <f t="shared" si="6"/>
        <v>579.15499999999997</v>
      </c>
      <c r="AB12" s="63">
        <f t="shared" si="6"/>
        <v>341.62400000000002</v>
      </c>
      <c r="AC12" s="63">
        <f t="shared" si="6"/>
        <v>334.83499999999998</v>
      </c>
      <c r="AD12" s="63">
        <f t="shared" si="6"/>
        <v>270.024</v>
      </c>
      <c r="AE12" s="63">
        <f t="shared" si="6"/>
        <v>0</v>
      </c>
      <c r="AF12" s="63">
        <f t="shared" si="6"/>
        <v>2675.1030000000001</v>
      </c>
      <c r="AG12" s="63">
        <f t="shared" si="6"/>
        <v>0</v>
      </c>
      <c r="AH12" s="60"/>
      <c r="AI12" s="23">
        <f t="shared" si="5"/>
        <v>168.1850000000004</v>
      </c>
    </row>
    <row r="13" spans="1:35" s="137" customFormat="1" ht="35.25" customHeight="1" x14ac:dyDescent="0.25">
      <c r="A13" s="651"/>
      <c r="B13" s="657" t="s">
        <v>183</v>
      </c>
      <c r="C13" s="108" t="s">
        <v>20</v>
      </c>
      <c r="D13" s="109">
        <f>D14</f>
        <v>822.59999999999991</v>
      </c>
      <c r="E13" s="109">
        <f t="shared" ref="E13:G21" si="7">E14</f>
        <v>822.59999999999991</v>
      </c>
      <c r="F13" s="109">
        <f>F14</f>
        <v>758.07600000000002</v>
      </c>
      <c r="G13" s="109">
        <f>G14</f>
        <v>758.07600000000002</v>
      </c>
      <c r="H13" s="109">
        <f t="shared" si="2"/>
        <v>92.156090444930712</v>
      </c>
      <c r="I13" s="109">
        <f t="shared" si="3"/>
        <v>92.156090444930712</v>
      </c>
      <c r="J13" s="110">
        <f>J14</f>
        <v>0</v>
      </c>
      <c r="K13" s="110">
        <f t="shared" ref="K13:AG21" si="8">K14</f>
        <v>0</v>
      </c>
      <c r="L13" s="110">
        <f t="shared" si="8"/>
        <v>0</v>
      </c>
      <c r="M13" s="110">
        <f t="shared" si="8"/>
        <v>0</v>
      </c>
      <c r="N13" s="110">
        <f t="shared" si="8"/>
        <v>0</v>
      </c>
      <c r="O13" s="110">
        <f t="shared" si="8"/>
        <v>0</v>
      </c>
      <c r="P13" s="110">
        <f t="shared" si="8"/>
        <v>2.7</v>
      </c>
      <c r="Q13" s="110">
        <f t="shared" si="8"/>
        <v>0</v>
      </c>
      <c r="R13" s="110">
        <f t="shared" si="8"/>
        <v>4.4000000000000004</v>
      </c>
      <c r="S13" s="110">
        <f t="shared" si="8"/>
        <v>3.52</v>
      </c>
      <c r="T13" s="110">
        <f t="shared" si="8"/>
        <v>7.1</v>
      </c>
      <c r="U13" s="110">
        <f t="shared" si="8"/>
        <v>3.52</v>
      </c>
      <c r="V13" s="110">
        <f t="shared" si="8"/>
        <v>265</v>
      </c>
      <c r="W13" s="110">
        <f t="shared" si="8"/>
        <v>219.43100000000001</v>
      </c>
      <c r="X13" s="110">
        <f t="shared" si="8"/>
        <v>349.4</v>
      </c>
      <c r="Y13" s="110">
        <f t="shared" si="8"/>
        <v>208.59800000000001</v>
      </c>
      <c r="Z13" s="110">
        <f t="shared" si="8"/>
        <v>189.6</v>
      </c>
      <c r="AA13" s="110">
        <f t="shared" si="8"/>
        <v>321.24700000000001</v>
      </c>
      <c r="AB13" s="110">
        <f t="shared" si="8"/>
        <v>4.4000000000000004</v>
      </c>
      <c r="AC13" s="110">
        <f t="shared" si="8"/>
        <v>1.76</v>
      </c>
      <c r="AD13" s="110">
        <f t="shared" si="8"/>
        <v>0</v>
      </c>
      <c r="AE13" s="110">
        <f t="shared" si="8"/>
        <v>0</v>
      </c>
      <c r="AF13" s="110">
        <f t="shared" si="8"/>
        <v>0</v>
      </c>
      <c r="AG13" s="110">
        <f t="shared" si="8"/>
        <v>0</v>
      </c>
      <c r="AH13" s="111" t="s">
        <v>439</v>
      </c>
      <c r="AI13" s="497">
        <f t="shared" si="5"/>
        <v>64.523999999999887</v>
      </c>
    </row>
    <row r="14" spans="1:35" s="53" customFormat="1" ht="42" customHeight="1" x14ac:dyDescent="0.25">
      <c r="A14" s="652"/>
      <c r="B14" s="658"/>
      <c r="C14" s="112" t="s">
        <v>21</v>
      </c>
      <c r="D14" s="113">
        <f>SUM(J14,L14,N14,P14,R14,T14,V14,X14,Z14,AB14,AD14,AF14)</f>
        <v>822.59999999999991</v>
      </c>
      <c r="E14" s="113">
        <f>J14+L14+N14+P14+R14+T14+V14+X14+Z14+AB14</f>
        <v>822.59999999999991</v>
      </c>
      <c r="F14" s="113">
        <f>G14</f>
        <v>758.07600000000002</v>
      </c>
      <c r="G14" s="113">
        <f>SUM(K14,M14,O14,Q14,S14,U14,W14,Y14,AA14,AC14,AE14,AG14)</f>
        <v>758.07600000000002</v>
      </c>
      <c r="H14" s="113">
        <f t="shared" ref="H14:H22" si="9">IFERROR(G14/D14*100,0)</f>
        <v>92.156090444930712</v>
      </c>
      <c r="I14" s="113">
        <f t="shared" ref="I14:I22" si="10">IFERROR(G14/E14*100,0)</f>
        <v>92.156090444930712</v>
      </c>
      <c r="J14" s="114">
        <v>0</v>
      </c>
      <c r="K14" s="114">
        <v>0</v>
      </c>
      <c r="L14" s="114">
        <v>0</v>
      </c>
      <c r="M14" s="114">
        <v>0</v>
      </c>
      <c r="N14" s="114">
        <v>0</v>
      </c>
      <c r="O14" s="114">
        <v>0</v>
      </c>
      <c r="P14" s="114">
        <v>2.7</v>
      </c>
      <c r="Q14" s="114">
        <v>0</v>
      </c>
      <c r="R14" s="114">
        <v>4.4000000000000004</v>
      </c>
      <c r="S14" s="114">
        <v>3.52</v>
      </c>
      <c r="T14" s="114">
        <v>7.1</v>
      </c>
      <c r="U14" s="114">
        <v>3.52</v>
      </c>
      <c r="V14" s="114">
        <v>265</v>
      </c>
      <c r="W14" s="114">
        <v>219.43100000000001</v>
      </c>
      <c r="X14" s="114">
        <v>349.4</v>
      </c>
      <c r="Y14" s="114">
        <v>208.59800000000001</v>
      </c>
      <c r="Z14" s="114">
        <v>189.6</v>
      </c>
      <c r="AA14" s="114">
        <v>321.24700000000001</v>
      </c>
      <c r="AB14" s="114">
        <v>4.4000000000000004</v>
      </c>
      <c r="AC14" s="114">
        <v>1.76</v>
      </c>
      <c r="AD14" s="114">
        <v>0</v>
      </c>
      <c r="AE14" s="114">
        <v>0</v>
      </c>
      <c r="AF14" s="114">
        <v>0</v>
      </c>
      <c r="AG14" s="114">
        <v>0</v>
      </c>
      <c r="AH14" s="111"/>
      <c r="AI14" s="497">
        <f t="shared" si="5"/>
        <v>64.523999999999887</v>
      </c>
    </row>
    <row r="15" spans="1:35" s="137" customFormat="1" ht="35.25" customHeight="1" x14ac:dyDescent="0.25">
      <c r="A15" s="659"/>
      <c r="B15" s="657" t="s">
        <v>184</v>
      </c>
      <c r="C15" s="108" t="s">
        <v>20</v>
      </c>
      <c r="D15" s="109">
        <f>D16</f>
        <v>602.75</v>
      </c>
      <c r="E15" s="109">
        <f t="shared" si="7"/>
        <v>602.75</v>
      </c>
      <c r="F15" s="109">
        <f t="shared" si="7"/>
        <v>511.012</v>
      </c>
      <c r="G15" s="109">
        <f t="shared" si="7"/>
        <v>511.012</v>
      </c>
      <c r="H15" s="109">
        <f t="shared" si="9"/>
        <v>84.780091248444634</v>
      </c>
      <c r="I15" s="109">
        <f t="shared" si="10"/>
        <v>84.780091248444634</v>
      </c>
      <c r="J15" s="110">
        <f>J16</f>
        <v>0</v>
      </c>
      <c r="K15" s="110">
        <f t="shared" si="8"/>
        <v>0</v>
      </c>
      <c r="L15" s="110">
        <f t="shared" si="8"/>
        <v>0</v>
      </c>
      <c r="M15" s="110">
        <f t="shared" si="8"/>
        <v>0</v>
      </c>
      <c r="N15" s="110">
        <f t="shared" si="8"/>
        <v>0</v>
      </c>
      <c r="O15" s="110">
        <f t="shared" si="8"/>
        <v>0</v>
      </c>
      <c r="P15" s="110">
        <f t="shared" si="8"/>
        <v>0</v>
      </c>
      <c r="Q15" s="110">
        <f t="shared" si="8"/>
        <v>0</v>
      </c>
      <c r="R15" s="110">
        <f t="shared" si="8"/>
        <v>0</v>
      </c>
      <c r="S15" s="110">
        <f t="shared" si="8"/>
        <v>0</v>
      </c>
      <c r="T15" s="110">
        <f t="shared" si="8"/>
        <v>162.15</v>
      </c>
      <c r="U15" s="110">
        <f t="shared" si="8"/>
        <v>96.430999999999997</v>
      </c>
      <c r="V15" s="110">
        <f t="shared" si="8"/>
        <v>78.900000000000006</v>
      </c>
      <c r="W15" s="110">
        <f t="shared" si="8"/>
        <v>51.311999999999998</v>
      </c>
      <c r="X15" s="110">
        <f t="shared" si="8"/>
        <v>361.7</v>
      </c>
      <c r="Y15" s="110">
        <f t="shared" si="8"/>
        <v>362.19400000000002</v>
      </c>
      <c r="Z15" s="110">
        <f t="shared" si="8"/>
        <v>0</v>
      </c>
      <c r="AA15" s="110">
        <f t="shared" si="8"/>
        <v>0.54400000000000004</v>
      </c>
      <c r="AB15" s="110">
        <f t="shared" si="8"/>
        <v>0</v>
      </c>
      <c r="AC15" s="110">
        <f t="shared" si="8"/>
        <v>0.53100000000000003</v>
      </c>
      <c r="AD15" s="110">
        <f t="shared" si="8"/>
        <v>0</v>
      </c>
      <c r="AE15" s="110">
        <f t="shared" si="8"/>
        <v>0</v>
      </c>
      <c r="AF15" s="110">
        <f t="shared" si="8"/>
        <v>0</v>
      </c>
      <c r="AG15" s="110">
        <f t="shared" si="8"/>
        <v>0</v>
      </c>
      <c r="AH15" s="111" t="s">
        <v>439</v>
      </c>
      <c r="AI15" s="497">
        <f t="shared" si="5"/>
        <v>91.738</v>
      </c>
    </row>
    <row r="16" spans="1:35" s="53" customFormat="1" ht="42" customHeight="1" x14ac:dyDescent="0.25">
      <c r="A16" s="660"/>
      <c r="B16" s="661"/>
      <c r="C16" s="112" t="s">
        <v>21</v>
      </c>
      <c r="D16" s="113">
        <f>SUM(J16,L16,N16,P16,R16,T16,V16,X16,Z16,AB16,AD16,AF16)</f>
        <v>602.75</v>
      </c>
      <c r="E16" s="113">
        <f>J16+L16+N16+P16+R16+T16+V16+X16+Z16+AB16</f>
        <v>602.75</v>
      </c>
      <c r="F16" s="113">
        <f>G16</f>
        <v>511.012</v>
      </c>
      <c r="G16" s="113">
        <f>SUM(K16,M16,O16,Q16,S16,U16,W16,Y16,AA16,AC16,AE16,AG16)</f>
        <v>511.012</v>
      </c>
      <c r="H16" s="113">
        <f t="shared" si="9"/>
        <v>84.780091248444634</v>
      </c>
      <c r="I16" s="113">
        <f t="shared" si="10"/>
        <v>84.780091248444634</v>
      </c>
      <c r="J16" s="114">
        <v>0</v>
      </c>
      <c r="K16" s="114">
        <v>0</v>
      </c>
      <c r="L16" s="114">
        <v>0</v>
      </c>
      <c r="M16" s="114">
        <v>0</v>
      </c>
      <c r="N16" s="114">
        <v>0</v>
      </c>
      <c r="O16" s="114">
        <v>0</v>
      </c>
      <c r="P16" s="114">
        <v>0</v>
      </c>
      <c r="Q16" s="114">
        <v>0</v>
      </c>
      <c r="R16" s="114">
        <v>0</v>
      </c>
      <c r="S16" s="114">
        <v>0</v>
      </c>
      <c r="T16" s="114">
        <v>162.15</v>
      </c>
      <c r="U16" s="114">
        <v>96.430999999999997</v>
      </c>
      <c r="V16" s="114">
        <v>78.900000000000006</v>
      </c>
      <c r="W16" s="114">
        <v>51.311999999999998</v>
      </c>
      <c r="X16" s="114">
        <v>361.7</v>
      </c>
      <c r="Y16" s="114">
        <v>362.19400000000002</v>
      </c>
      <c r="Z16" s="114">
        <v>0</v>
      </c>
      <c r="AA16" s="114">
        <v>0.54400000000000004</v>
      </c>
      <c r="AB16" s="114">
        <v>0</v>
      </c>
      <c r="AC16" s="114">
        <v>0.53100000000000003</v>
      </c>
      <c r="AD16" s="114">
        <v>0</v>
      </c>
      <c r="AE16" s="114">
        <v>0</v>
      </c>
      <c r="AF16" s="114">
        <v>0</v>
      </c>
      <c r="AG16" s="114">
        <v>0</v>
      </c>
      <c r="AH16" s="111"/>
      <c r="AI16" s="497">
        <f t="shared" si="5"/>
        <v>91.738</v>
      </c>
    </row>
    <row r="17" spans="1:35" s="137" customFormat="1" ht="42.75" customHeight="1" x14ac:dyDescent="0.25">
      <c r="A17" s="651"/>
      <c r="B17" s="657" t="s">
        <v>185</v>
      </c>
      <c r="C17" s="108" t="s">
        <v>20</v>
      </c>
      <c r="D17" s="109">
        <f>D18</f>
        <v>5107.0990000000002</v>
      </c>
      <c r="E17" s="109">
        <f t="shared" si="7"/>
        <v>2265.6120000000001</v>
      </c>
      <c r="F17" s="109">
        <f t="shared" si="7"/>
        <v>2265.6120000000001</v>
      </c>
      <c r="G17" s="109">
        <f t="shared" si="7"/>
        <v>2265.6120000000001</v>
      </c>
      <c r="H17" s="109">
        <f t="shared" si="9"/>
        <v>44.362014521355469</v>
      </c>
      <c r="I17" s="109">
        <f t="shared" si="10"/>
        <v>100</v>
      </c>
      <c r="J17" s="110">
        <f>J18</f>
        <v>232.476</v>
      </c>
      <c r="K17" s="110">
        <f t="shared" si="8"/>
        <v>232.476</v>
      </c>
      <c r="L17" s="110">
        <f t="shared" si="8"/>
        <v>225.904</v>
      </c>
      <c r="M17" s="110">
        <f t="shared" si="8"/>
        <v>225.904</v>
      </c>
      <c r="N17" s="110">
        <f t="shared" si="8"/>
        <v>225.904</v>
      </c>
      <c r="O17" s="110">
        <f t="shared" si="8"/>
        <v>225.904</v>
      </c>
      <c r="P17" s="110">
        <f t="shared" si="8"/>
        <v>225.904</v>
      </c>
      <c r="Q17" s="110">
        <f t="shared" si="8"/>
        <v>225.904</v>
      </c>
      <c r="R17" s="110">
        <f t="shared" si="8"/>
        <v>225.904</v>
      </c>
      <c r="S17" s="110">
        <f t="shared" si="8"/>
        <v>225.904</v>
      </c>
      <c r="T17" s="110">
        <f t="shared" si="8"/>
        <v>225.904</v>
      </c>
      <c r="U17" s="110">
        <f t="shared" si="8"/>
        <v>225.904</v>
      </c>
      <c r="V17" s="110">
        <f t="shared" si="8"/>
        <v>225.904</v>
      </c>
      <c r="W17" s="110">
        <f t="shared" si="8"/>
        <v>225.904</v>
      </c>
      <c r="X17" s="110">
        <f t="shared" si="8"/>
        <v>225.904</v>
      </c>
      <c r="Y17" s="110">
        <f t="shared" si="8"/>
        <v>225.904</v>
      </c>
      <c r="Z17" s="110">
        <f>Z18</f>
        <v>225.904</v>
      </c>
      <c r="AA17" s="110">
        <f t="shared" si="8"/>
        <v>225.904</v>
      </c>
      <c r="AB17" s="110">
        <f t="shared" si="8"/>
        <v>225.904</v>
      </c>
      <c r="AC17" s="110">
        <f t="shared" si="8"/>
        <v>225.904</v>
      </c>
      <c r="AD17" s="110">
        <f t="shared" si="8"/>
        <v>225.904</v>
      </c>
      <c r="AE17" s="110">
        <f t="shared" si="8"/>
        <v>0</v>
      </c>
      <c r="AF17" s="110">
        <f t="shared" si="8"/>
        <v>2615.5830000000001</v>
      </c>
      <c r="AG17" s="110">
        <f t="shared" si="8"/>
        <v>0</v>
      </c>
      <c r="AH17" s="138"/>
      <c r="AI17" s="497">
        <f t="shared" si="5"/>
        <v>0</v>
      </c>
    </row>
    <row r="18" spans="1:35" s="53" customFormat="1" ht="45.75" customHeight="1" x14ac:dyDescent="0.25">
      <c r="A18" s="652"/>
      <c r="B18" s="658"/>
      <c r="C18" s="112" t="s">
        <v>21</v>
      </c>
      <c r="D18" s="113">
        <f>SUM(J18,L18,N18,P18,R18,T18,V18,X18,Z18,AB18,AD18,AF18)</f>
        <v>5107.0990000000002</v>
      </c>
      <c r="E18" s="113">
        <f>J18+L18+N18+P18+R18+T18+V18+X18+Z18+AB18</f>
        <v>2265.6120000000001</v>
      </c>
      <c r="F18" s="113">
        <f>G18</f>
        <v>2265.6120000000001</v>
      </c>
      <c r="G18" s="113">
        <f>SUM(K18,M18,O18,Q18,S18,U18,W18,Y18,AA18,AC18,AE18,AG18)</f>
        <v>2265.6120000000001</v>
      </c>
      <c r="H18" s="113">
        <f t="shared" si="9"/>
        <v>44.362014521355469</v>
      </c>
      <c r="I18" s="113">
        <f t="shared" si="10"/>
        <v>100</v>
      </c>
      <c r="J18" s="114">
        <v>232.476</v>
      </c>
      <c r="K18" s="114">
        <v>232.476</v>
      </c>
      <c r="L18" s="114">
        <v>225.904</v>
      </c>
      <c r="M18" s="114">
        <v>225.904</v>
      </c>
      <c r="N18" s="114">
        <v>225.904</v>
      </c>
      <c r="O18" s="114">
        <v>225.904</v>
      </c>
      <c r="P18" s="114">
        <v>225.904</v>
      </c>
      <c r="Q18" s="114">
        <v>225.904</v>
      </c>
      <c r="R18" s="114">
        <v>225.904</v>
      </c>
      <c r="S18" s="114">
        <v>225.904</v>
      </c>
      <c r="T18" s="114">
        <v>225.904</v>
      </c>
      <c r="U18" s="114">
        <v>225.904</v>
      </c>
      <c r="V18" s="114">
        <v>225.904</v>
      </c>
      <c r="W18" s="114">
        <v>225.904</v>
      </c>
      <c r="X18" s="114">
        <v>225.904</v>
      </c>
      <c r="Y18" s="114">
        <v>225.904</v>
      </c>
      <c r="Z18" s="114">
        <v>225.904</v>
      </c>
      <c r="AA18" s="114">
        <v>225.904</v>
      </c>
      <c r="AB18" s="114">
        <v>225.904</v>
      </c>
      <c r="AC18" s="114">
        <v>225.904</v>
      </c>
      <c r="AD18" s="114">
        <v>225.904</v>
      </c>
      <c r="AE18" s="114">
        <v>0</v>
      </c>
      <c r="AF18" s="114">
        <v>2615.5830000000001</v>
      </c>
      <c r="AG18" s="114">
        <v>0</v>
      </c>
      <c r="AH18" s="138"/>
      <c r="AI18" s="497">
        <f t="shared" si="5"/>
        <v>0</v>
      </c>
    </row>
    <row r="19" spans="1:35" s="137" customFormat="1" ht="45.75" customHeight="1" x14ac:dyDescent="0.25">
      <c r="A19" s="651"/>
      <c r="B19" s="653" t="s">
        <v>186</v>
      </c>
      <c r="C19" s="108" t="s">
        <v>20</v>
      </c>
      <c r="D19" s="109">
        <f>D20</f>
        <v>100</v>
      </c>
      <c r="E19" s="109">
        <f t="shared" si="7"/>
        <v>75.180000000000007</v>
      </c>
      <c r="F19" s="109">
        <f t="shared" si="7"/>
        <v>75.180000000000007</v>
      </c>
      <c r="G19" s="109">
        <f t="shared" si="7"/>
        <v>75.180000000000007</v>
      </c>
      <c r="H19" s="109">
        <f t="shared" si="9"/>
        <v>75.180000000000007</v>
      </c>
      <c r="I19" s="109">
        <f t="shared" si="10"/>
        <v>100</v>
      </c>
      <c r="J19" s="110">
        <f>J20</f>
        <v>0</v>
      </c>
      <c r="K19" s="110">
        <f t="shared" si="8"/>
        <v>0</v>
      </c>
      <c r="L19" s="110">
        <f>L20</f>
        <v>0</v>
      </c>
      <c r="M19" s="110">
        <f t="shared" si="8"/>
        <v>0</v>
      </c>
      <c r="N19" s="110">
        <f t="shared" si="8"/>
        <v>0</v>
      </c>
      <c r="O19" s="110">
        <f t="shared" si="8"/>
        <v>0</v>
      </c>
      <c r="P19" s="110">
        <f t="shared" si="8"/>
        <v>0</v>
      </c>
      <c r="Q19" s="110">
        <f t="shared" si="8"/>
        <v>0</v>
      </c>
      <c r="R19" s="110">
        <f t="shared" si="8"/>
        <v>0</v>
      </c>
      <c r="S19" s="110">
        <f t="shared" si="8"/>
        <v>0</v>
      </c>
      <c r="T19" s="110">
        <f t="shared" si="8"/>
        <v>0</v>
      </c>
      <c r="U19" s="110">
        <f t="shared" si="8"/>
        <v>0</v>
      </c>
      <c r="V19" s="110">
        <f t="shared" si="8"/>
        <v>0</v>
      </c>
      <c r="W19" s="110">
        <f t="shared" si="8"/>
        <v>0</v>
      </c>
      <c r="X19" s="110">
        <f t="shared" si="8"/>
        <v>0</v>
      </c>
      <c r="Y19" s="110">
        <f t="shared" si="8"/>
        <v>0</v>
      </c>
      <c r="Z19" s="110">
        <f t="shared" si="8"/>
        <v>0</v>
      </c>
      <c r="AA19" s="110">
        <f t="shared" si="8"/>
        <v>0</v>
      </c>
      <c r="AB19" s="110">
        <f t="shared" si="8"/>
        <v>75.180000000000007</v>
      </c>
      <c r="AC19" s="110">
        <f t="shared" si="8"/>
        <v>75.180000000000007</v>
      </c>
      <c r="AD19" s="110">
        <f t="shared" si="8"/>
        <v>24.82</v>
      </c>
      <c r="AE19" s="110">
        <f t="shared" si="8"/>
        <v>0</v>
      </c>
      <c r="AF19" s="110">
        <f>AF20</f>
        <v>0</v>
      </c>
      <c r="AG19" s="110">
        <f t="shared" si="8"/>
        <v>0</v>
      </c>
      <c r="AH19" s="111"/>
      <c r="AI19" s="497">
        <f t="shared" si="5"/>
        <v>0</v>
      </c>
    </row>
    <row r="20" spans="1:35" s="53" customFormat="1" ht="44.25" customHeight="1" x14ac:dyDescent="0.25">
      <c r="A20" s="652"/>
      <c r="B20" s="654"/>
      <c r="C20" s="112" t="s">
        <v>21</v>
      </c>
      <c r="D20" s="113">
        <f>SUM(J20,L20,N20,P20,R20,T20,V20,X20,Z20,AB20,AD20,AF20)</f>
        <v>100</v>
      </c>
      <c r="E20" s="113">
        <f>J20+L20+N20+P20+R20+T20+V20+X20+Z20+AB20</f>
        <v>75.180000000000007</v>
      </c>
      <c r="F20" s="113">
        <f>G20</f>
        <v>75.180000000000007</v>
      </c>
      <c r="G20" s="113">
        <f>SUM(K20,M20,O20,Q20,S20,U20,W20,Y20,AA20,AC20,AE20,AG20)</f>
        <v>75.180000000000007</v>
      </c>
      <c r="H20" s="113">
        <f t="shared" si="9"/>
        <v>75.180000000000007</v>
      </c>
      <c r="I20" s="113">
        <f t="shared" si="10"/>
        <v>100</v>
      </c>
      <c r="J20" s="114">
        <v>0</v>
      </c>
      <c r="K20" s="114">
        <v>0</v>
      </c>
      <c r="L20" s="114">
        <v>0</v>
      </c>
      <c r="M20" s="114">
        <v>0</v>
      </c>
      <c r="N20" s="114">
        <v>0</v>
      </c>
      <c r="O20" s="114">
        <v>0</v>
      </c>
      <c r="P20" s="114">
        <v>0</v>
      </c>
      <c r="Q20" s="114">
        <v>0</v>
      </c>
      <c r="R20" s="114">
        <v>0</v>
      </c>
      <c r="S20" s="114">
        <v>0</v>
      </c>
      <c r="T20" s="114">
        <v>0</v>
      </c>
      <c r="U20" s="114">
        <v>0</v>
      </c>
      <c r="V20" s="114">
        <v>0</v>
      </c>
      <c r="W20" s="114">
        <v>0</v>
      </c>
      <c r="X20" s="114">
        <v>0</v>
      </c>
      <c r="Y20" s="114">
        <v>0</v>
      </c>
      <c r="Z20" s="114">
        <v>0</v>
      </c>
      <c r="AA20" s="114">
        <v>0</v>
      </c>
      <c r="AB20" s="114">
        <v>75.180000000000007</v>
      </c>
      <c r="AC20" s="114">
        <v>75.180000000000007</v>
      </c>
      <c r="AD20" s="114">
        <v>24.82</v>
      </c>
      <c r="AE20" s="114">
        <v>0</v>
      </c>
      <c r="AF20" s="114">
        <v>0</v>
      </c>
      <c r="AG20" s="114">
        <v>0</v>
      </c>
      <c r="AH20" s="111"/>
      <c r="AI20" s="497">
        <f t="shared" si="5"/>
        <v>0</v>
      </c>
    </row>
    <row r="21" spans="1:35" s="137" customFormat="1" ht="35.25" customHeight="1" x14ac:dyDescent="0.25">
      <c r="A21" s="651"/>
      <c r="B21" s="653" t="s">
        <v>187</v>
      </c>
      <c r="C21" s="108" t="s">
        <v>20</v>
      </c>
      <c r="D21" s="109">
        <f>D22</f>
        <v>237.00000000000003</v>
      </c>
      <c r="E21" s="109">
        <f t="shared" si="7"/>
        <v>158.18</v>
      </c>
      <c r="F21" s="109">
        <f t="shared" si="7"/>
        <v>146.25700000000001</v>
      </c>
      <c r="G21" s="109">
        <f t="shared" si="7"/>
        <v>146.25700000000001</v>
      </c>
      <c r="H21" s="109">
        <f t="shared" si="9"/>
        <v>61.711814345991556</v>
      </c>
      <c r="I21" s="109">
        <f t="shared" si="10"/>
        <v>92.46238462511063</v>
      </c>
      <c r="J21" s="110">
        <f>J22</f>
        <v>0</v>
      </c>
      <c r="K21" s="110">
        <f t="shared" si="8"/>
        <v>0</v>
      </c>
      <c r="L21" s="110">
        <f>L22</f>
        <v>0</v>
      </c>
      <c r="M21" s="110">
        <f t="shared" si="8"/>
        <v>0</v>
      </c>
      <c r="N21" s="110">
        <f t="shared" si="8"/>
        <v>0</v>
      </c>
      <c r="O21" s="110">
        <f t="shared" si="8"/>
        <v>0</v>
      </c>
      <c r="P21" s="110">
        <f t="shared" si="8"/>
        <v>0</v>
      </c>
      <c r="Q21" s="110">
        <f t="shared" si="8"/>
        <v>0</v>
      </c>
      <c r="R21" s="110">
        <f t="shared" si="8"/>
        <v>0</v>
      </c>
      <c r="S21" s="110">
        <f t="shared" si="8"/>
        <v>0</v>
      </c>
      <c r="T21" s="110">
        <f t="shared" si="8"/>
        <v>10.56</v>
      </c>
      <c r="U21" s="110">
        <f t="shared" si="8"/>
        <v>10.56</v>
      </c>
      <c r="V21" s="110">
        <f t="shared" si="8"/>
        <v>48.56</v>
      </c>
      <c r="W21" s="110">
        <f t="shared" si="8"/>
        <v>41.317</v>
      </c>
      <c r="X21" s="110">
        <f t="shared" si="8"/>
        <v>31.46</v>
      </c>
      <c r="Y21" s="110">
        <f t="shared" si="8"/>
        <v>31.46</v>
      </c>
      <c r="Z21" s="110">
        <f t="shared" si="8"/>
        <v>31.46</v>
      </c>
      <c r="AA21" s="110">
        <f t="shared" si="8"/>
        <v>31.46</v>
      </c>
      <c r="AB21" s="110">
        <f t="shared" si="8"/>
        <v>36.14</v>
      </c>
      <c r="AC21" s="110">
        <f t="shared" si="8"/>
        <v>31.46</v>
      </c>
      <c r="AD21" s="110">
        <f t="shared" si="8"/>
        <v>19.3</v>
      </c>
      <c r="AE21" s="110">
        <f t="shared" si="8"/>
        <v>0</v>
      </c>
      <c r="AF21" s="110">
        <f t="shared" si="8"/>
        <v>59.52</v>
      </c>
      <c r="AG21" s="110">
        <f t="shared" si="8"/>
        <v>0</v>
      </c>
      <c r="AH21" s="111" t="s">
        <v>439</v>
      </c>
      <c r="AI21" s="497">
        <f t="shared" si="5"/>
        <v>11.923000000000002</v>
      </c>
    </row>
    <row r="22" spans="1:35" s="53" customFormat="1" ht="42" customHeight="1" x14ac:dyDescent="0.25">
      <c r="A22" s="652"/>
      <c r="B22" s="654"/>
      <c r="C22" s="112" t="s">
        <v>21</v>
      </c>
      <c r="D22" s="113">
        <f>SUM(J22,L22,N22,P22,R22,T22,V22,X22,Z22,AB22,AD22,AF22)</f>
        <v>237.00000000000003</v>
      </c>
      <c r="E22" s="113">
        <f>J22+L22+N22+P22+R22+T22+V22+X22+Z22+AB22</f>
        <v>158.18</v>
      </c>
      <c r="F22" s="113">
        <f>G22</f>
        <v>146.25700000000001</v>
      </c>
      <c r="G22" s="113">
        <f>SUM(K22,M22,O22,Q22,S22,U22,W22,Y22,AA22,AC22,AE22,AG22)</f>
        <v>146.25700000000001</v>
      </c>
      <c r="H22" s="113">
        <f t="shared" si="9"/>
        <v>61.711814345991556</v>
      </c>
      <c r="I22" s="113">
        <f t="shared" si="10"/>
        <v>92.46238462511063</v>
      </c>
      <c r="J22" s="114">
        <v>0</v>
      </c>
      <c r="K22" s="114">
        <v>0</v>
      </c>
      <c r="L22" s="114">
        <v>0</v>
      </c>
      <c r="M22" s="114">
        <v>0</v>
      </c>
      <c r="N22" s="114">
        <v>0</v>
      </c>
      <c r="O22" s="114">
        <v>0</v>
      </c>
      <c r="P22" s="114">
        <v>0</v>
      </c>
      <c r="Q22" s="114">
        <v>0</v>
      </c>
      <c r="R22" s="114">
        <v>0</v>
      </c>
      <c r="S22" s="114">
        <v>0</v>
      </c>
      <c r="T22" s="114">
        <v>10.56</v>
      </c>
      <c r="U22" s="114">
        <v>10.56</v>
      </c>
      <c r="V22" s="114">
        <v>48.56</v>
      </c>
      <c r="W22" s="114">
        <v>41.317</v>
      </c>
      <c r="X22" s="114">
        <v>31.46</v>
      </c>
      <c r="Y22" s="114">
        <v>31.46</v>
      </c>
      <c r="Z22" s="114">
        <v>31.46</v>
      </c>
      <c r="AA22" s="114">
        <v>31.46</v>
      </c>
      <c r="AB22" s="114">
        <v>36.14</v>
      </c>
      <c r="AC22" s="114">
        <v>31.46</v>
      </c>
      <c r="AD22" s="114">
        <v>19.3</v>
      </c>
      <c r="AE22" s="114">
        <v>0</v>
      </c>
      <c r="AF22" s="114">
        <v>59.52</v>
      </c>
      <c r="AG22" s="114">
        <v>0</v>
      </c>
      <c r="AH22" s="138"/>
      <c r="AI22" s="497">
        <f t="shared" si="5"/>
        <v>11.923000000000002</v>
      </c>
    </row>
    <row r="23" spans="1:35" s="26" customFormat="1" ht="18.75" customHeight="1" x14ac:dyDescent="0.25">
      <c r="A23" s="132" t="s">
        <v>153</v>
      </c>
      <c r="B23" s="596" t="s">
        <v>181</v>
      </c>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8"/>
      <c r="AH23" s="75"/>
      <c r="AI23" s="260"/>
    </row>
    <row r="24" spans="1:35" s="21" customFormat="1" ht="82.5" customHeight="1" x14ac:dyDescent="0.25">
      <c r="A24" s="581" t="s">
        <v>162</v>
      </c>
      <c r="B24" s="655" t="s">
        <v>188</v>
      </c>
      <c r="C24" s="57" t="s">
        <v>20</v>
      </c>
      <c r="D24" s="58">
        <f>D25</f>
        <v>8859.99</v>
      </c>
      <c r="E24" s="58">
        <f>E25</f>
        <v>7794.9470000000001</v>
      </c>
      <c r="F24" s="58">
        <f t="shared" ref="E24:G26" si="11">F25</f>
        <v>7485.1320000000005</v>
      </c>
      <c r="G24" s="58">
        <f t="shared" si="11"/>
        <v>7485.1320000000005</v>
      </c>
      <c r="H24" s="58">
        <f t="shared" si="2"/>
        <v>84.482397835663477</v>
      </c>
      <c r="I24" s="58">
        <f t="shared" si="3"/>
        <v>96.025438017731233</v>
      </c>
      <c r="J24" s="59">
        <f>J25</f>
        <v>1258.117</v>
      </c>
      <c r="K24" s="59">
        <f t="shared" ref="K24:AG26" si="12">K25</f>
        <v>717.13400000000001</v>
      </c>
      <c r="L24" s="59">
        <f t="shared" si="12"/>
        <v>761.00900000000001</v>
      </c>
      <c r="M24" s="59">
        <f t="shared" si="12"/>
        <v>1036.6859999999999</v>
      </c>
      <c r="N24" s="59">
        <f t="shared" si="12"/>
        <v>664.92600000000004</v>
      </c>
      <c r="O24" s="59">
        <f t="shared" si="12"/>
        <v>820.24300000000005</v>
      </c>
      <c r="P24" s="59">
        <f t="shared" si="12"/>
        <v>792.03</v>
      </c>
      <c r="Q24" s="59">
        <f t="shared" si="12"/>
        <v>729.72299999999996</v>
      </c>
      <c r="R24" s="59">
        <f t="shared" si="12"/>
        <v>690.63199999999995</v>
      </c>
      <c r="S24" s="59">
        <f t="shared" si="12"/>
        <v>584.93399999999997</v>
      </c>
      <c r="T24" s="59">
        <f t="shared" si="12"/>
        <v>775.86699999999996</v>
      </c>
      <c r="U24" s="59">
        <f t="shared" si="12"/>
        <v>926.85900000000004</v>
      </c>
      <c r="V24" s="59">
        <f t="shared" si="12"/>
        <v>884.33</v>
      </c>
      <c r="W24" s="59">
        <f t="shared" si="12"/>
        <v>727.06</v>
      </c>
      <c r="X24" s="59">
        <f t="shared" si="12"/>
        <v>690.63199999999995</v>
      </c>
      <c r="Y24" s="59">
        <f t="shared" si="12"/>
        <v>516.38</v>
      </c>
      <c r="Z24" s="59">
        <f t="shared" si="12"/>
        <v>531.82600000000002</v>
      </c>
      <c r="AA24" s="59">
        <f t="shared" si="12"/>
        <v>812.64099999999996</v>
      </c>
      <c r="AB24" s="59">
        <f t="shared" si="12"/>
        <v>745.57799999999997</v>
      </c>
      <c r="AC24" s="59">
        <f t="shared" si="12"/>
        <v>613.47199999999998</v>
      </c>
      <c r="AD24" s="59">
        <f t="shared" si="12"/>
        <v>707.31899999999996</v>
      </c>
      <c r="AE24" s="59">
        <f t="shared" si="12"/>
        <v>0</v>
      </c>
      <c r="AF24" s="59">
        <f t="shared" si="12"/>
        <v>357.72399999999999</v>
      </c>
      <c r="AG24" s="59">
        <f t="shared" si="12"/>
        <v>0</v>
      </c>
      <c r="AH24" s="64" t="s">
        <v>438</v>
      </c>
      <c r="AI24" s="497">
        <f>E24-G24</f>
        <v>309.8149999999996</v>
      </c>
    </row>
    <row r="25" spans="1:35" s="22" customFormat="1" ht="73.5" customHeight="1" x14ac:dyDescent="0.25">
      <c r="A25" s="583"/>
      <c r="B25" s="656"/>
      <c r="C25" s="61" t="s">
        <v>21</v>
      </c>
      <c r="D25" s="62">
        <f>SUM(J25,L25,N25,P25,R25,T25,V25,X25,Z25,AB25,AD25,AF25)</f>
        <v>8859.99</v>
      </c>
      <c r="E25" s="62">
        <f>J25+L25+N25+P25+R25+T25+V25+X25+Z25+AB25</f>
        <v>7794.9470000000001</v>
      </c>
      <c r="F25" s="62">
        <f>G25</f>
        <v>7485.1320000000005</v>
      </c>
      <c r="G25" s="62">
        <f>SUM(K25,M25,O25,Q25,S25,U25,W25,Y25,AA25,AC25,AE25,AG25)</f>
        <v>7485.1320000000005</v>
      </c>
      <c r="H25" s="62">
        <f>IFERROR(G25/D25*100,0)</f>
        <v>84.482397835663477</v>
      </c>
      <c r="I25" s="62">
        <f>IFERROR(G25/E25*100,0)</f>
        <v>96.025438017731233</v>
      </c>
      <c r="J25" s="63">
        <v>1258.117</v>
      </c>
      <c r="K25" s="63">
        <v>717.13400000000001</v>
      </c>
      <c r="L25" s="63">
        <v>761.00900000000001</v>
      </c>
      <c r="M25" s="63">
        <v>1036.6859999999999</v>
      </c>
      <c r="N25" s="63">
        <v>664.92600000000004</v>
      </c>
      <c r="O25" s="63">
        <v>820.24300000000005</v>
      </c>
      <c r="P25" s="63">
        <v>792.03</v>
      </c>
      <c r="Q25" s="63">
        <v>729.72299999999996</v>
      </c>
      <c r="R25" s="63">
        <v>690.63199999999995</v>
      </c>
      <c r="S25" s="63">
        <v>584.93399999999997</v>
      </c>
      <c r="T25" s="63">
        <v>775.86699999999996</v>
      </c>
      <c r="U25" s="63">
        <v>926.85900000000004</v>
      </c>
      <c r="V25" s="63">
        <v>884.33</v>
      </c>
      <c r="W25" s="63">
        <v>727.06</v>
      </c>
      <c r="X25" s="63">
        <v>690.63199999999995</v>
      </c>
      <c r="Y25" s="63">
        <v>516.38</v>
      </c>
      <c r="Z25" s="63">
        <v>531.82600000000002</v>
      </c>
      <c r="AA25" s="63">
        <v>812.64099999999996</v>
      </c>
      <c r="AB25" s="63">
        <v>745.57799999999997</v>
      </c>
      <c r="AC25" s="63">
        <v>613.47199999999998</v>
      </c>
      <c r="AD25" s="63">
        <v>707.31899999999996</v>
      </c>
      <c r="AE25" s="63">
        <v>0</v>
      </c>
      <c r="AF25" s="63">
        <v>357.72399999999999</v>
      </c>
      <c r="AG25" s="63">
        <v>0</v>
      </c>
      <c r="AH25" s="64"/>
      <c r="AI25" s="497">
        <f>E25-G25</f>
        <v>309.8149999999996</v>
      </c>
    </row>
    <row r="26" spans="1:35" s="131" customFormat="1" ht="179.25" customHeight="1" x14ac:dyDescent="0.25">
      <c r="A26" s="581" t="s">
        <v>155</v>
      </c>
      <c r="B26" s="527" t="s">
        <v>189</v>
      </c>
      <c r="C26" s="57" t="s">
        <v>20</v>
      </c>
      <c r="D26" s="58">
        <f>D27</f>
        <v>39622.498</v>
      </c>
      <c r="E26" s="58">
        <f t="shared" si="11"/>
        <v>33231.004000000001</v>
      </c>
      <c r="F26" s="58">
        <f t="shared" si="11"/>
        <v>28676.466999999997</v>
      </c>
      <c r="G26" s="58">
        <f t="shared" si="11"/>
        <v>28676.466999999997</v>
      </c>
      <c r="H26" s="58">
        <f>IFERROR(G26/D26*100,0)</f>
        <v>72.374202656278754</v>
      </c>
      <c r="I26" s="58">
        <f>IFERROR(G26/E26*100,0)</f>
        <v>86.294314189243266</v>
      </c>
      <c r="J26" s="59">
        <f>J27</f>
        <v>3107.2289999999998</v>
      </c>
      <c r="K26" s="59">
        <f t="shared" si="12"/>
        <v>1158.204</v>
      </c>
      <c r="L26" s="59">
        <f t="shared" si="12"/>
        <v>3185.777</v>
      </c>
      <c r="M26" s="59">
        <f t="shared" si="12"/>
        <v>3406.5630000000001</v>
      </c>
      <c r="N26" s="59">
        <f t="shared" si="12"/>
        <v>3311.9769999999999</v>
      </c>
      <c r="O26" s="59">
        <f t="shared" si="12"/>
        <v>2765.6439999999998</v>
      </c>
      <c r="P26" s="59">
        <f t="shared" si="12"/>
        <v>3771.3470000000002</v>
      </c>
      <c r="Q26" s="59">
        <f t="shared" si="12"/>
        <v>3205.0340000000001</v>
      </c>
      <c r="R26" s="59">
        <f t="shared" si="12"/>
        <v>3512.1559999999999</v>
      </c>
      <c r="S26" s="59">
        <f t="shared" si="12"/>
        <v>3170.451</v>
      </c>
      <c r="T26" s="59">
        <f t="shared" si="12"/>
        <v>3528.9769999999999</v>
      </c>
      <c r="U26" s="59">
        <f t="shared" si="12"/>
        <v>3412.5129999999999</v>
      </c>
      <c r="V26" s="59">
        <f t="shared" si="12"/>
        <v>3393.5529999999999</v>
      </c>
      <c r="W26" s="59">
        <f t="shared" si="12"/>
        <v>3283.4949999999999</v>
      </c>
      <c r="X26" s="59">
        <f t="shared" si="12"/>
        <v>3328.777</v>
      </c>
      <c r="Y26" s="59">
        <f t="shared" si="12"/>
        <v>2835.944</v>
      </c>
      <c r="Z26" s="59">
        <f t="shared" si="12"/>
        <v>2988.777</v>
      </c>
      <c r="AA26" s="59">
        <f t="shared" si="12"/>
        <v>2731.6019999999999</v>
      </c>
      <c r="AB26" s="59">
        <f t="shared" si="12"/>
        <v>3102.4340000000002</v>
      </c>
      <c r="AC26" s="59">
        <f t="shared" si="12"/>
        <v>2707.0169999999998</v>
      </c>
      <c r="AD26" s="59">
        <f t="shared" si="12"/>
        <v>2958.377</v>
      </c>
      <c r="AE26" s="59">
        <f t="shared" si="12"/>
        <v>0</v>
      </c>
      <c r="AF26" s="59">
        <f t="shared" si="12"/>
        <v>3433.1170000000002</v>
      </c>
      <c r="AG26" s="59">
        <f t="shared" si="12"/>
        <v>0</v>
      </c>
      <c r="AH26" s="64" t="s">
        <v>440</v>
      </c>
      <c r="AI26" s="497">
        <f>E26-G26</f>
        <v>4554.5370000000039</v>
      </c>
    </row>
    <row r="27" spans="1:35" s="18" customFormat="1" ht="73.5" customHeight="1" x14ac:dyDescent="0.25">
      <c r="A27" s="583"/>
      <c r="B27" s="529"/>
      <c r="C27" s="61" t="s">
        <v>21</v>
      </c>
      <c r="D27" s="62">
        <f>SUM(J27,L27,N27,P27,R27,T27,V27,X27,Z27,AB27,AD27,AF27)</f>
        <v>39622.498</v>
      </c>
      <c r="E27" s="62">
        <f>J27+L27+N27+P27+R27+T27+V27+X27+Z27+AB27</f>
        <v>33231.004000000001</v>
      </c>
      <c r="F27" s="62">
        <f>G27</f>
        <v>28676.466999999997</v>
      </c>
      <c r="G27" s="62">
        <f>SUM(K27,M27,O27,Q27,S27,U27,W27,Y27,AA27,AC27,AE27,AG27)</f>
        <v>28676.466999999997</v>
      </c>
      <c r="H27" s="62">
        <f>IFERROR(G27/D27*100,0)</f>
        <v>72.374202656278754</v>
      </c>
      <c r="I27" s="62">
        <f>IFERROR(G27/E27*100,0)</f>
        <v>86.294314189243266</v>
      </c>
      <c r="J27" s="63">
        <v>3107.2289999999998</v>
      </c>
      <c r="K27" s="63">
        <v>1158.204</v>
      </c>
      <c r="L27" s="63">
        <v>3185.777</v>
      </c>
      <c r="M27" s="63">
        <v>3406.5630000000001</v>
      </c>
      <c r="N27" s="63">
        <v>3311.9769999999999</v>
      </c>
      <c r="O27" s="63">
        <v>2765.6439999999998</v>
      </c>
      <c r="P27" s="63">
        <v>3771.3470000000002</v>
      </c>
      <c r="Q27" s="63">
        <v>3205.0340000000001</v>
      </c>
      <c r="R27" s="63">
        <v>3512.1559999999999</v>
      </c>
      <c r="S27" s="63">
        <v>3170.451</v>
      </c>
      <c r="T27" s="63">
        <v>3528.9769999999999</v>
      </c>
      <c r="U27" s="63">
        <v>3412.5129999999999</v>
      </c>
      <c r="V27" s="63">
        <v>3393.5529999999999</v>
      </c>
      <c r="W27" s="63">
        <v>3283.4949999999999</v>
      </c>
      <c r="X27" s="63">
        <v>3328.777</v>
      </c>
      <c r="Y27" s="63">
        <v>2835.944</v>
      </c>
      <c r="Z27" s="63">
        <v>2988.777</v>
      </c>
      <c r="AA27" s="63">
        <v>2731.6019999999999</v>
      </c>
      <c r="AB27" s="63">
        <v>3102.4340000000002</v>
      </c>
      <c r="AC27" s="63">
        <v>2707.0169999999998</v>
      </c>
      <c r="AD27" s="63">
        <v>2958.377</v>
      </c>
      <c r="AE27" s="63">
        <v>0</v>
      </c>
      <c r="AF27" s="63">
        <v>3433.1170000000002</v>
      </c>
      <c r="AG27" s="63">
        <v>0</v>
      </c>
      <c r="AH27" s="64"/>
      <c r="AI27" s="497">
        <f>E27-G27</f>
        <v>4554.5370000000039</v>
      </c>
    </row>
    <row r="28" spans="1:35" s="10" customFormat="1" x14ac:dyDescent="0.25">
      <c r="C28" s="17"/>
    </row>
    <row r="29" spans="1:35" x14ac:dyDescent="0.25">
      <c r="G29" s="322"/>
      <c r="I29" s="322"/>
    </row>
  </sheetData>
  <customSheetViews>
    <customSheetView guid="{133BB3F8-8DD4-4AEF-8CD6-A5FB14681329}" scale="80" state="hidden">
      <pane xSplit="6" ySplit="7" topLeftCell="G8" activePane="bottomRight" state="frozen"/>
      <selection pane="bottomRight" activeCell="F6" sqref="F6"/>
      <pageMargins left="0.7" right="0.7" top="0.75" bottom="0.75" header="0.3" footer="0.3"/>
      <pageSetup paperSize="9" orientation="portrait" r:id="rId1"/>
    </customSheetView>
    <customSheetView guid="{7C5A2A36-3D69-43D9-9018-A52C27EC78F9}" scale="80">
      <pane xSplit="6" ySplit="7" topLeftCell="G8" activePane="bottomRight" state="frozen"/>
      <selection pane="bottomRight" activeCell="D12" sqref="D12"/>
      <pageMargins left="0.7" right="0.7" top="0.75" bottom="0.75" header="0.3" footer="0.3"/>
      <pageSetup paperSize="9" orientation="portrait" r:id="rId2"/>
    </customSheetView>
    <customSheetView guid="{2A5A11D4-90C6-4A3E-8165-7D7BD634B22F}" scale="80">
      <pane xSplit="6" ySplit="7" topLeftCell="U20" activePane="bottomRight" state="frozen"/>
      <selection pane="bottomRight" activeCell="AH30" sqref="AH30"/>
      <pageMargins left="0.7" right="0.7" top="0.75" bottom="0.75" header="0.3" footer="0.3"/>
      <pageSetup paperSize="9" orientation="portrait" r:id="rId3"/>
    </customSheetView>
    <customSheetView guid="{996EC2F0-F6EC-4E63-A83E-34865157BD8D}" scale="80">
      <pane xSplit="6" ySplit="7" topLeftCell="G8" activePane="bottomRight" state="frozen"/>
      <selection pane="bottomRight" activeCell="D12" sqref="D12"/>
      <pageMargins left="0.7" right="0.7" top="0.75" bottom="0.75" header="0.3" footer="0.3"/>
      <pageSetup paperSize="9" orientation="portrait" r:id="rId4"/>
    </customSheetView>
    <customSheetView guid="{AB9978E4-895D-4050-8F07-2484E22632D1}" scale="80">
      <pane xSplit="6" ySplit="7" topLeftCell="G8" activePane="bottomRight" state="frozen"/>
      <selection pane="bottomRight" activeCell="D12" sqref="D12"/>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D12" sqref="D12"/>
      <pageMargins left="0.7" right="0.7" top="0.75" bottom="0.75" header="0.3" footer="0.3"/>
      <pageSetup paperSize="9" orientation="portrait" r:id="rId6"/>
    </customSheetView>
    <customSheetView guid="{2940A182-D1A7-43C5-8D6E-965BED4371B0}" scale="80">
      <pane xSplit="6" ySplit="7" topLeftCell="G8" activePane="bottomRight" state="frozen"/>
      <selection pane="bottomRight" activeCell="D12" sqref="D12"/>
      <pageMargins left="0.7" right="0.7" top="0.75" bottom="0.75" header="0.3" footer="0.3"/>
      <pageSetup paperSize="9" orientation="portrait" r:id="rId7"/>
    </customSheetView>
    <customSheetView guid="{A0E2FBF6-E560-4343-8BE6-217DC798135B}" scale="80">
      <pane xSplit="6" ySplit="7" topLeftCell="G8" activePane="bottomRight" state="frozen"/>
      <selection pane="bottomRight" activeCell="D12" sqref="D12"/>
      <pageMargins left="0.7" right="0.7" top="0.75" bottom="0.75" header="0.3" footer="0.3"/>
      <pageSetup paperSize="9" orientation="portrait" r:id="rId8"/>
    </customSheetView>
    <customSheetView guid="{BBF6B43F-E0FC-43DF-B91C-674F6AB4B556}" scale="80">
      <pane xSplit="6" ySplit="7" topLeftCell="G8" activePane="bottomRight" state="frozen"/>
      <selection pane="bottomRight" activeCell="D12" sqref="D12"/>
      <pageMargins left="0.7" right="0.7" top="0.75" bottom="0.75" header="0.3" footer="0.3"/>
      <pageSetup paperSize="9" orientation="portrait" r:id="rId9"/>
    </customSheetView>
    <customSheetView guid="{C68436F4-AFB3-4D1D-A7C4-56D0C677D68E}" scale="80">
      <pane xSplit="6" ySplit="7" topLeftCell="G8" activePane="bottomRight" state="frozen"/>
      <selection pane="bottomRight" activeCell="D12" sqref="D12"/>
      <pageMargins left="0.7" right="0.7" top="0.75" bottom="0.75" header="0.3" footer="0.3"/>
      <pageSetup paperSize="9" orientation="portrait" r:id="rId10"/>
    </customSheetView>
    <customSheetView guid="{DAEDC989-02E7-4319-8354-59410ACF3F1F}" scale="80">
      <pane xSplit="6" ySplit="7" topLeftCell="G8" activePane="bottomRight" state="frozen"/>
      <selection pane="bottomRight" activeCell="D12" sqref="D12"/>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12" sqref="D12"/>
      <pageMargins left="0.7" right="0.7" top="0.75" bottom="0.75" header="0.3" footer="0.3"/>
      <pageSetup paperSize="9" orientation="portrait" r:id="rId12"/>
    </customSheetView>
    <customSheetView guid="{C7DC638A-7F60-46C9-A1FB-9ADEAE87F332}" scale="80">
      <pane xSplit="6" ySplit="7" topLeftCell="G8" activePane="bottomRight" state="frozen"/>
      <selection pane="bottomRight" activeCell="D12" sqref="D12"/>
      <pageMargins left="0.7" right="0.7" top="0.75" bottom="0.75" header="0.3" footer="0.3"/>
      <pageSetup paperSize="9" orientation="portrait" r:id="rId13"/>
    </customSheetView>
    <customSheetView guid="{C01DC081-B312-4391-B775-A8CE76216D71}" scale="80">
      <pane xSplit="6" ySplit="7" topLeftCell="G8" activePane="bottomRight" state="frozen"/>
      <selection pane="bottomRight" activeCell="B10" sqref="B10:AG10"/>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D12" sqref="D12"/>
      <pageMargins left="0.7" right="0.7" top="0.75" bottom="0.75" header="0.3" footer="0.3"/>
      <pageSetup paperSize="9" orientation="portrait" r:id="rId15"/>
    </customSheetView>
    <customSheetView guid="{A7640BE7-6438-4196-9A67-AF5B992A1E70}" scale="80">
      <pane xSplit="6" ySplit="7" topLeftCell="G8" activePane="bottomRight" state="frozen"/>
      <selection pane="bottomRight" activeCell="D12" sqref="D12"/>
      <pageMargins left="0.7" right="0.7" top="0.75" bottom="0.75" header="0.3" footer="0.3"/>
      <pageSetup paperSize="9" orientation="portrait" r:id="rId16"/>
    </customSheetView>
    <customSheetView guid="{30B635D9-57DB-47D5-8A0F-4B30DD769960}" scale="80">
      <pane xSplit="6" ySplit="7" topLeftCell="G8" activePane="bottomRight" state="frozen"/>
      <selection pane="bottomRight" activeCell="D12" sqref="D12"/>
      <pageMargins left="0.7" right="0.7" top="0.75" bottom="0.75" header="0.3" footer="0.3"/>
      <pageSetup paperSize="9" orientation="portrait" r:id="rId17"/>
    </customSheetView>
    <customSheetView guid="{20A05A62-CBE8-4538-BBC3-2AD9D3B8FAC0}" scale="80">
      <pane xSplit="6" ySplit="7" topLeftCell="G8" activePane="bottomRight" state="frozen"/>
      <selection pane="bottomRight" activeCell="D12" sqref="D12"/>
      <pageMargins left="0.7" right="0.7" top="0.75" bottom="0.75" header="0.3" footer="0.3"/>
      <pageSetup paperSize="9" orientation="portrait" r:id="rId18"/>
    </customSheetView>
    <customSheetView guid="{C282AA4E-1BB5-4296-9AC6-844C0F88E5FC}" scale="80">
      <pane xSplit="6" ySplit="7" topLeftCell="G8" activePane="bottomRight" state="frozen"/>
      <selection pane="bottomRight" activeCell="D12" sqref="D12"/>
      <pageMargins left="0.7" right="0.7" top="0.75" bottom="0.75" header="0.3" footer="0.3"/>
      <pageSetup paperSize="9" orientation="portrait" r:id="rId19"/>
    </customSheetView>
    <customSheetView guid="{4E221C17-6DAB-4FFA-B18C-35D4D85AF6E8}" scale="80">
      <pane xSplit="6" ySplit="7" topLeftCell="S8" activePane="bottomRight" state="frozen"/>
      <selection pane="bottomRight" activeCell="D12" sqref="D12"/>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D12" sqref="D12"/>
      <pageMargins left="0.7" right="0.7" top="0.75" bottom="0.75" header="0.3" footer="0.3"/>
      <pageSetup paperSize="9" orientation="portrait" r:id="rId21"/>
    </customSheetView>
    <customSheetView guid="{F528EF6A-C113-49B5-B25F-D660F898CBFB}" scale="80">
      <pane xSplit="6" ySplit="7" topLeftCell="G8" activePane="bottomRight" state="frozen"/>
      <selection pane="bottomRight" activeCell="D12" sqref="D12"/>
      <pageMargins left="0.7" right="0.7" top="0.75" bottom="0.75" header="0.3" footer="0.3"/>
      <pageSetup paperSize="9" orientation="portrait" r:id="rId22"/>
    </customSheetView>
    <customSheetView guid="{B6B60ED6-A6CC-4DA7-A8CA-5E6DB52D5A87}" scale="80">
      <pane xSplit="6" ySplit="7" topLeftCell="G8" activePane="bottomRight" state="frozen"/>
      <selection pane="bottomRight" activeCell="D12" sqref="D12"/>
      <pageMargins left="0.7" right="0.7" top="0.75" bottom="0.75" header="0.3" footer="0.3"/>
      <pageSetup paperSize="9" orientation="portrait" r:id="rId23"/>
    </customSheetView>
    <customSheetView guid="{A4AF2100-C59D-4F60-9EAB-56D9103463F7}" scale="80">
      <pane xSplit="6" ySplit="7" topLeftCell="G8" activePane="bottomRight" state="frozen"/>
      <selection pane="bottomRight" activeCell="D12" sqref="D12"/>
      <pageMargins left="0.7" right="0.7" top="0.75" bottom="0.75" header="0.3" footer="0.3"/>
      <pageSetup paperSize="9" orientation="portrait" r:id="rId24"/>
    </customSheetView>
    <customSheetView guid="{EA46B61D-849C-4795-A4FF-F8F1740022EB}" scale="80">
      <pane xSplit="6" ySplit="7" topLeftCell="G8" activePane="bottomRight" state="frozen"/>
      <selection pane="bottomRight" activeCell="D12" sqref="D12"/>
      <pageMargins left="0.7" right="0.7" top="0.75" bottom="0.75" header="0.3" footer="0.3"/>
      <pageSetup paperSize="9" orientation="portrait" r:id="rId25"/>
    </customSheetView>
    <customSheetView guid="{B686A221-D885-4536-BEAC-E7F4BBC02150}" scale="80" showPageBreaks="1">
      <pane xSplit="6" ySplit="7" topLeftCell="W27" activePane="bottomRight" state="frozen"/>
      <selection pane="bottomRight" activeCell="AI30" sqref="AI30"/>
      <pageMargins left="0.11811023622047245" right="0.11811023622047245" top="0.74803149606299213" bottom="0.74803149606299213" header="0.31496062992125984" footer="0.31496062992125984"/>
      <pageSetup paperSize="9" scale="55" orientation="landscape" r:id="rId26"/>
    </customSheetView>
    <customSheetView guid="{60A1F930-4BEC-460A-8E14-01E47F6DD055}" scale="80">
      <pane xSplit="6" ySplit="4" topLeftCell="G8" activePane="bottomRight" state="frozen"/>
      <selection pane="bottomRight" activeCell="D12" sqref="D12"/>
      <pageMargins left="0.7" right="0.7" top="0.75" bottom="0.75" header="0.3" footer="0.3"/>
      <pageSetup paperSize="9" orientation="portrait" r:id="rId27"/>
    </customSheetView>
    <customSheetView guid="{5DF2C78B-5EE4-439D-8D72-8D3A913B65F9}" scale="80">
      <pane xSplit="6" ySplit="7" topLeftCell="G8" activePane="bottomRight" state="frozen"/>
      <selection pane="bottomRight" activeCell="D12" sqref="D12"/>
      <pageMargins left="0.7" right="0.7" top="0.75" bottom="0.75" header="0.3" footer="0.3"/>
      <pageSetup paperSize="9" orientation="portrait" r:id="rId28"/>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26:A27"/>
    <mergeCell ref="B26:B27"/>
    <mergeCell ref="A19:A20"/>
    <mergeCell ref="B19:B20"/>
    <mergeCell ref="A21:A22"/>
    <mergeCell ref="B21:B22"/>
    <mergeCell ref="B23:AG23"/>
    <mergeCell ref="A24:A25"/>
    <mergeCell ref="B24:B25"/>
  </mergeCells>
  <pageMargins left="0.7" right="0.7" top="0.75" bottom="0.75" header="0.3" footer="0.3"/>
  <pageSetup paperSize="9" orientation="portrait" r:id="rId2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6"/>
  <sheetViews>
    <sheetView zoomScale="80" zoomScaleNormal="60" workbookViewId="0">
      <pane xSplit="6" ySplit="7" topLeftCell="G8" activePane="bottomRight" state="frozen"/>
      <selection pane="topRight" activeCell="G1" sqref="G1"/>
      <selection pane="bottomLeft" activeCell="A8" sqref="A8"/>
      <selection pane="bottomRight" activeCell="F6" sqref="F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512" t="s">
        <v>24</v>
      </c>
      <c r="D2" s="512"/>
      <c r="E2" s="512"/>
      <c r="F2" s="512"/>
      <c r="G2" s="512"/>
      <c r="H2" s="512"/>
      <c r="I2" s="512"/>
      <c r="J2" s="512"/>
      <c r="K2" s="512"/>
      <c r="L2" s="512"/>
      <c r="M2" s="512"/>
      <c r="N2" s="512"/>
      <c r="O2" s="512"/>
      <c r="P2" s="512"/>
      <c r="Q2" s="512"/>
      <c r="R2" s="512"/>
      <c r="S2" s="512"/>
      <c r="T2" s="93"/>
      <c r="U2" s="93"/>
      <c r="V2" s="93"/>
      <c r="W2" s="93"/>
      <c r="X2" s="93"/>
      <c r="Y2" s="93"/>
      <c r="Z2" s="93"/>
      <c r="AA2" s="93"/>
      <c r="AB2" s="93"/>
      <c r="AC2" s="93"/>
      <c r="AD2" s="93"/>
      <c r="AE2" s="93"/>
      <c r="AF2" s="93"/>
      <c r="AG2" s="93"/>
      <c r="AH2" s="93"/>
    </row>
    <row r="3" spans="1:35" ht="36.75" customHeight="1" x14ac:dyDescent="0.25">
      <c r="A3" s="92"/>
      <c r="B3" s="92"/>
      <c r="C3" s="513" t="s">
        <v>45</v>
      </c>
      <c r="D3" s="513"/>
      <c r="E3" s="513"/>
      <c r="F3" s="513"/>
      <c r="G3" s="513"/>
      <c r="H3" s="513"/>
      <c r="I3" s="513"/>
      <c r="J3" s="513"/>
      <c r="K3" s="513"/>
      <c r="L3" s="513"/>
      <c r="M3" s="513"/>
      <c r="N3" s="513"/>
      <c r="O3" s="513"/>
      <c r="P3" s="513"/>
      <c r="Q3" s="513"/>
      <c r="R3" s="513"/>
      <c r="S3" s="513"/>
      <c r="T3" s="94"/>
      <c r="U3" s="94"/>
      <c r="V3" s="94"/>
      <c r="W3" s="94"/>
      <c r="X3" s="94"/>
      <c r="Y3" s="94"/>
      <c r="Z3" s="94"/>
      <c r="AA3" s="94"/>
      <c r="AB3" s="94"/>
      <c r="AC3" s="94"/>
      <c r="AD3" s="95"/>
      <c r="AE3" s="95"/>
      <c r="AF3" s="95"/>
      <c r="AG3" s="37" t="s">
        <v>0</v>
      </c>
      <c r="AH3" s="95"/>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39">
        <v>45962</v>
      </c>
      <c r="F6" s="39">
        <v>45748</v>
      </c>
      <c r="G6" s="39">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581"/>
      <c r="B8" s="527" t="s">
        <v>23</v>
      </c>
      <c r="C8" s="57" t="s">
        <v>20</v>
      </c>
      <c r="D8" s="58">
        <f>D9+D10</f>
        <v>4880.7790000000005</v>
      </c>
      <c r="E8" s="58">
        <f t="shared" ref="E8:G8" si="0">E9+E10</f>
        <v>4830.5219999999999</v>
      </c>
      <c r="F8" s="58">
        <f t="shared" si="0"/>
        <v>4722.66</v>
      </c>
      <c r="G8" s="58">
        <f t="shared" si="0"/>
        <v>4722.66</v>
      </c>
      <c r="H8" s="58">
        <f>IFERROR(G8/D8*100,0)</f>
        <v>96.760373702640493</v>
      </c>
      <c r="I8" s="58">
        <f>IFERROR(G8/E8*100,0)</f>
        <v>97.767073620614909</v>
      </c>
      <c r="J8" s="59">
        <f>J9+J10</f>
        <v>0</v>
      </c>
      <c r="K8" s="59">
        <f t="shared" ref="K8" si="1">K9+K10</f>
        <v>0</v>
      </c>
      <c r="L8" s="59">
        <f t="shared" ref="L8" si="2">L9+L10</f>
        <v>12.72</v>
      </c>
      <c r="M8" s="59">
        <f t="shared" ref="M8" si="3">M9+M10</f>
        <v>11.23</v>
      </c>
      <c r="N8" s="59">
        <f t="shared" ref="N8" si="4">N9+N10</f>
        <v>12.727</v>
      </c>
      <c r="O8" s="59">
        <f t="shared" ref="O8" si="5">O9+O10</f>
        <v>12.73</v>
      </c>
      <c r="P8" s="59">
        <f t="shared" ref="P8" si="6">P9+P10</f>
        <v>12.727</v>
      </c>
      <c r="Q8" s="59">
        <f t="shared" ref="Q8" si="7">Q9+Q10</f>
        <v>12.73</v>
      </c>
      <c r="R8" s="59">
        <f t="shared" ref="R8" si="8">R9+R10</f>
        <v>12.727</v>
      </c>
      <c r="S8" s="59">
        <f t="shared" ref="S8" si="9">S9+S10</f>
        <v>12.15</v>
      </c>
      <c r="T8" s="59">
        <f t="shared" ref="T8" si="10">T9+T10</f>
        <v>14.527000000000001</v>
      </c>
      <c r="U8" s="59">
        <f t="shared" ref="U8" si="11">U9+U10</f>
        <v>7.07</v>
      </c>
      <c r="V8" s="59">
        <f t="shared" ref="V8" si="12">V9+V10</f>
        <v>14.520000000000001</v>
      </c>
      <c r="W8" s="59">
        <f t="shared" ref="W8" si="13">W9+W10</f>
        <v>6.7</v>
      </c>
      <c r="X8" s="59">
        <f t="shared" ref="X8" si="14">X9+X10</f>
        <v>14.527000000000001</v>
      </c>
      <c r="Y8" s="59">
        <f t="shared" ref="Y8" si="15">Y9+Y10</f>
        <v>15.97</v>
      </c>
      <c r="Z8" s="59">
        <f t="shared" ref="Z8" si="16">Z9+Z10</f>
        <v>3438.607</v>
      </c>
      <c r="AA8" s="59">
        <f t="shared" ref="AA8" si="17">AA9+AA10</f>
        <v>3432.35</v>
      </c>
      <c r="AB8" s="59">
        <f t="shared" ref="AB8" si="18">AB9+AB10</f>
        <v>1297.44</v>
      </c>
      <c r="AC8" s="59">
        <f t="shared" ref="AC8" si="19">AC9+AC10</f>
        <v>1211.73</v>
      </c>
      <c r="AD8" s="59">
        <f t="shared" ref="AD8" si="20">AD9+AD10</f>
        <v>14.527000000000001</v>
      </c>
      <c r="AE8" s="59">
        <f t="shared" ref="AE8" si="21">AE9+AE10</f>
        <v>0</v>
      </c>
      <c r="AF8" s="59">
        <f t="shared" ref="AF8" si="22">AF9+AF10</f>
        <v>35.729999999999997</v>
      </c>
      <c r="AG8" s="59">
        <f t="shared" ref="AG8" si="23">AG9+AG10</f>
        <v>0</v>
      </c>
      <c r="AH8" s="60"/>
    </row>
    <row r="9" spans="1:35" s="22" customFormat="1" ht="57" customHeight="1" x14ac:dyDescent="0.25">
      <c r="A9" s="582"/>
      <c r="B9" s="528"/>
      <c r="C9" s="61" t="s">
        <v>22</v>
      </c>
      <c r="D9" s="62">
        <f>D13</f>
        <v>162.97900000000001</v>
      </c>
      <c r="E9" s="62">
        <f>E13</f>
        <v>114.52200000000002</v>
      </c>
      <c r="F9" s="62">
        <f t="shared" ref="F9:AG9" si="24">F13</f>
        <v>99.58</v>
      </c>
      <c r="G9" s="62">
        <f t="shared" si="24"/>
        <v>99.58</v>
      </c>
      <c r="H9" s="62">
        <f t="shared" ref="H9:H10" si="25">IFERROR(G9/D9*100,0)</f>
        <v>61.099896305659009</v>
      </c>
      <c r="I9" s="62">
        <f t="shared" ref="I9:I10" si="26">IFERROR(G9/E9*100,0)</f>
        <v>86.952725240565115</v>
      </c>
      <c r="J9" s="62">
        <f>J13</f>
        <v>0</v>
      </c>
      <c r="K9" s="62">
        <f>K13</f>
        <v>0</v>
      </c>
      <c r="L9" s="62">
        <f t="shared" si="24"/>
        <v>12.72</v>
      </c>
      <c r="M9" s="62">
        <f t="shared" si="24"/>
        <v>11.23</v>
      </c>
      <c r="N9" s="62">
        <f t="shared" si="24"/>
        <v>12.727</v>
      </c>
      <c r="O9" s="62">
        <f t="shared" si="24"/>
        <v>12.73</v>
      </c>
      <c r="P9" s="62">
        <f t="shared" si="24"/>
        <v>12.727</v>
      </c>
      <c r="Q9" s="62">
        <f t="shared" si="24"/>
        <v>12.73</v>
      </c>
      <c r="R9" s="62">
        <f>R13</f>
        <v>12.727</v>
      </c>
      <c r="S9" s="62">
        <f t="shared" si="24"/>
        <v>12.15</v>
      </c>
      <c r="T9" s="62">
        <f t="shared" si="24"/>
        <v>12.727</v>
      </c>
      <c r="U9" s="62">
        <f t="shared" si="24"/>
        <v>7.07</v>
      </c>
      <c r="V9" s="62">
        <f t="shared" si="24"/>
        <v>12.72</v>
      </c>
      <c r="W9" s="62">
        <f t="shared" si="24"/>
        <v>6.7</v>
      </c>
      <c r="X9" s="62">
        <f t="shared" si="24"/>
        <v>12.727</v>
      </c>
      <c r="Y9" s="62">
        <f t="shared" si="24"/>
        <v>15.97</v>
      </c>
      <c r="Z9" s="62">
        <f t="shared" si="24"/>
        <v>12.727</v>
      </c>
      <c r="AA9" s="62">
        <f t="shared" si="24"/>
        <v>8.27</v>
      </c>
      <c r="AB9" s="62">
        <f t="shared" si="24"/>
        <v>12.72</v>
      </c>
      <c r="AC9" s="62">
        <f t="shared" si="24"/>
        <v>12.73</v>
      </c>
      <c r="AD9" s="62">
        <f t="shared" si="24"/>
        <v>12.727</v>
      </c>
      <c r="AE9" s="62">
        <f t="shared" si="24"/>
        <v>0</v>
      </c>
      <c r="AF9" s="62">
        <f t="shared" si="24"/>
        <v>35.729999999999997</v>
      </c>
      <c r="AG9" s="62">
        <f t="shared" si="24"/>
        <v>0</v>
      </c>
      <c r="AH9" s="64"/>
    </row>
    <row r="10" spans="1:35" s="22" customFormat="1" ht="38.25" customHeight="1" x14ac:dyDescent="0.25">
      <c r="A10" s="582"/>
      <c r="B10" s="528"/>
      <c r="C10" s="61" t="s">
        <v>21</v>
      </c>
      <c r="D10" s="62">
        <f>D15</f>
        <v>4717.8</v>
      </c>
      <c r="E10" s="62">
        <f t="shared" ref="E10:J10" si="27">E15</f>
        <v>4716</v>
      </c>
      <c r="F10" s="62">
        <f t="shared" si="27"/>
        <v>4623.08</v>
      </c>
      <c r="G10" s="62">
        <f t="shared" si="27"/>
        <v>4623.08</v>
      </c>
      <c r="H10" s="62">
        <f t="shared" si="25"/>
        <v>97.992284539403954</v>
      </c>
      <c r="I10" s="62">
        <f t="shared" si="26"/>
        <v>98.029686174724333</v>
      </c>
      <c r="J10" s="62">
        <f t="shared" si="27"/>
        <v>0</v>
      </c>
      <c r="K10" s="62">
        <f t="shared" ref="K10:AG10" si="28">K15</f>
        <v>0</v>
      </c>
      <c r="L10" s="62">
        <f t="shared" si="28"/>
        <v>0</v>
      </c>
      <c r="M10" s="62">
        <f t="shared" si="28"/>
        <v>0</v>
      </c>
      <c r="N10" s="62">
        <f t="shared" si="28"/>
        <v>0</v>
      </c>
      <c r="O10" s="62">
        <f t="shared" si="28"/>
        <v>0</v>
      </c>
      <c r="P10" s="62">
        <f t="shared" si="28"/>
        <v>0</v>
      </c>
      <c r="Q10" s="62">
        <f t="shared" si="28"/>
        <v>0</v>
      </c>
      <c r="R10" s="62">
        <f t="shared" si="28"/>
        <v>0</v>
      </c>
      <c r="S10" s="62">
        <f t="shared" si="28"/>
        <v>0</v>
      </c>
      <c r="T10" s="62">
        <f t="shared" si="28"/>
        <v>1.8</v>
      </c>
      <c r="U10" s="62">
        <f t="shared" si="28"/>
        <v>0</v>
      </c>
      <c r="V10" s="62">
        <f t="shared" si="28"/>
        <v>1.8</v>
      </c>
      <c r="W10" s="62">
        <f t="shared" si="28"/>
        <v>0</v>
      </c>
      <c r="X10" s="62">
        <f t="shared" si="28"/>
        <v>1.8</v>
      </c>
      <c r="Y10" s="62">
        <f t="shared" si="28"/>
        <v>0</v>
      </c>
      <c r="Z10" s="62">
        <f t="shared" si="28"/>
        <v>3425.88</v>
      </c>
      <c r="AA10" s="62">
        <f t="shared" si="28"/>
        <v>3424.08</v>
      </c>
      <c r="AB10" s="62">
        <f t="shared" si="28"/>
        <v>1284.72</v>
      </c>
      <c r="AC10" s="62">
        <f t="shared" si="28"/>
        <v>1199</v>
      </c>
      <c r="AD10" s="62">
        <f t="shared" si="28"/>
        <v>1.8</v>
      </c>
      <c r="AE10" s="62">
        <f t="shared" si="28"/>
        <v>0</v>
      </c>
      <c r="AF10" s="62">
        <f t="shared" si="28"/>
        <v>0</v>
      </c>
      <c r="AG10" s="62">
        <f t="shared" si="28"/>
        <v>0</v>
      </c>
      <c r="AH10" s="64"/>
    </row>
    <row r="11" spans="1:35" s="22" customFormat="1" ht="18.75" customHeight="1" x14ac:dyDescent="0.25">
      <c r="A11" s="66"/>
      <c r="B11" s="536" t="s">
        <v>46</v>
      </c>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8"/>
      <c r="AH11" s="64"/>
    </row>
    <row r="12" spans="1:35" s="21" customFormat="1" ht="88.5" customHeight="1" x14ac:dyDescent="0.25">
      <c r="A12" s="581" t="s">
        <v>37</v>
      </c>
      <c r="B12" s="527" t="s">
        <v>47</v>
      </c>
      <c r="C12" s="57" t="s">
        <v>20</v>
      </c>
      <c r="D12" s="58">
        <f>D13</f>
        <v>162.97900000000001</v>
      </c>
      <c r="E12" s="58">
        <f>E13</f>
        <v>114.52200000000002</v>
      </c>
      <c r="F12" s="58">
        <f t="shared" ref="F12" si="29">F13</f>
        <v>99.58</v>
      </c>
      <c r="G12" s="58">
        <f>G13</f>
        <v>99.58</v>
      </c>
      <c r="H12" s="58">
        <f>IFERROR(G12/D12*100,0)</f>
        <v>61.099896305659009</v>
      </c>
      <c r="I12" s="58">
        <f>IFERROR(G12/E12*100,0)</f>
        <v>86.952725240565115</v>
      </c>
      <c r="J12" s="59">
        <f>J13</f>
        <v>0</v>
      </c>
      <c r="K12" s="59">
        <f t="shared" ref="K12:AG12" si="30">K13</f>
        <v>0</v>
      </c>
      <c r="L12" s="59">
        <f t="shared" si="30"/>
        <v>12.72</v>
      </c>
      <c r="M12" s="59">
        <f t="shared" si="30"/>
        <v>11.23</v>
      </c>
      <c r="N12" s="59">
        <f t="shared" si="30"/>
        <v>12.727</v>
      </c>
      <c r="O12" s="59">
        <f t="shared" si="30"/>
        <v>12.73</v>
      </c>
      <c r="P12" s="59">
        <f t="shared" si="30"/>
        <v>12.727</v>
      </c>
      <c r="Q12" s="59">
        <f t="shared" si="30"/>
        <v>12.73</v>
      </c>
      <c r="R12" s="59">
        <f t="shared" si="30"/>
        <v>12.727</v>
      </c>
      <c r="S12" s="59">
        <f t="shared" si="30"/>
        <v>12.15</v>
      </c>
      <c r="T12" s="59">
        <f t="shared" si="30"/>
        <v>12.727</v>
      </c>
      <c r="U12" s="59">
        <f t="shared" si="30"/>
        <v>7.07</v>
      </c>
      <c r="V12" s="59">
        <f t="shared" si="30"/>
        <v>12.72</v>
      </c>
      <c r="W12" s="59">
        <f t="shared" si="30"/>
        <v>6.7</v>
      </c>
      <c r="X12" s="59">
        <f t="shared" si="30"/>
        <v>12.727</v>
      </c>
      <c r="Y12" s="59">
        <f t="shared" si="30"/>
        <v>15.97</v>
      </c>
      <c r="Z12" s="59">
        <f t="shared" si="30"/>
        <v>12.727</v>
      </c>
      <c r="AA12" s="59">
        <f t="shared" si="30"/>
        <v>8.27</v>
      </c>
      <c r="AB12" s="59">
        <f t="shared" si="30"/>
        <v>12.72</v>
      </c>
      <c r="AC12" s="59">
        <f t="shared" si="30"/>
        <v>12.73</v>
      </c>
      <c r="AD12" s="59">
        <f t="shared" si="30"/>
        <v>12.727</v>
      </c>
      <c r="AE12" s="59">
        <f t="shared" si="30"/>
        <v>0</v>
      </c>
      <c r="AF12" s="59">
        <f t="shared" si="30"/>
        <v>35.729999999999997</v>
      </c>
      <c r="AG12" s="59">
        <f t="shared" si="30"/>
        <v>0</v>
      </c>
      <c r="AH12" s="60"/>
      <c r="AI12" s="23"/>
    </row>
    <row r="13" spans="1:35" s="21" customFormat="1" ht="105.75" customHeight="1" x14ac:dyDescent="0.25">
      <c r="A13" s="582"/>
      <c r="B13" s="528"/>
      <c r="C13" s="61" t="s">
        <v>22</v>
      </c>
      <c r="D13" s="62">
        <f>SUM(J13,L13,N13,P13,R13,T13,V13,X13,Z13,AB13,AD13,AF13)</f>
        <v>162.97900000000001</v>
      </c>
      <c r="E13" s="62">
        <f>J13+L13+N13+P13+R13+T13+V13+X13+Z13+AB13</f>
        <v>114.52200000000002</v>
      </c>
      <c r="F13" s="62">
        <f>G13</f>
        <v>99.58</v>
      </c>
      <c r="G13" s="62">
        <f>SUM(K13,M13,O13,Q13,S13,U13,W13,Y13,AA13,AC13,AE13,AG13)</f>
        <v>99.58</v>
      </c>
      <c r="H13" s="62">
        <f>IFERROR(G13/D13*100,0)</f>
        <v>61.099896305659009</v>
      </c>
      <c r="I13" s="62">
        <f>IFERROR(G13/E13*100,0)</f>
        <v>86.952725240565115</v>
      </c>
      <c r="J13" s="63">
        <v>0</v>
      </c>
      <c r="K13" s="63">
        <v>0</v>
      </c>
      <c r="L13" s="63">
        <v>12.72</v>
      </c>
      <c r="M13" s="63">
        <v>11.23</v>
      </c>
      <c r="N13" s="63">
        <v>12.727</v>
      </c>
      <c r="O13" s="63">
        <v>12.73</v>
      </c>
      <c r="P13" s="63">
        <v>12.727</v>
      </c>
      <c r="Q13" s="63">
        <v>12.73</v>
      </c>
      <c r="R13" s="63">
        <v>12.727</v>
      </c>
      <c r="S13" s="63">
        <v>12.15</v>
      </c>
      <c r="T13" s="63">
        <v>12.727</v>
      </c>
      <c r="U13" s="63">
        <v>7.07</v>
      </c>
      <c r="V13" s="63">
        <v>12.72</v>
      </c>
      <c r="W13" s="63">
        <v>6.7</v>
      </c>
      <c r="X13" s="63">
        <v>12.727</v>
      </c>
      <c r="Y13" s="63">
        <v>15.97</v>
      </c>
      <c r="Z13" s="63">
        <v>12.727</v>
      </c>
      <c r="AA13" s="63">
        <v>8.27</v>
      </c>
      <c r="AB13" s="63">
        <v>12.72</v>
      </c>
      <c r="AC13" s="63">
        <v>12.73</v>
      </c>
      <c r="AD13" s="63">
        <v>12.727</v>
      </c>
      <c r="AE13" s="63">
        <v>0</v>
      </c>
      <c r="AF13" s="63">
        <v>35.729999999999997</v>
      </c>
      <c r="AG13" s="63">
        <v>0</v>
      </c>
      <c r="AH13" s="479" t="s">
        <v>423</v>
      </c>
      <c r="AI13" s="23"/>
    </row>
    <row r="14" spans="1:35" s="21" customFormat="1" ht="339" customHeight="1" x14ac:dyDescent="0.25">
      <c r="A14" s="581" t="s">
        <v>38</v>
      </c>
      <c r="B14" s="527" t="s">
        <v>48</v>
      </c>
      <c r="C14" s="57" t="s">
        <v>20</v>
      </c>
      <c r="D14" s="58">
        <f>D15</f>
        <v>4717.8</v>
      </c>
      <c r="E14" s="58">
        <f t="shared" ref="E14:G14" si="31">E15</f>
        <v>4716</v>
      </c>
      <c r="F14" s="58">
        <f t="shared" si="31"/>
        <v>4623.08</v>
      </c>
      <c r="G14" s="58">
        <f t="shared" si="31"/>
        <v>4623.08</v>
      </c>
      <c r="H14" s="58">
        <f>IFERROR(G14/D14*100,0)</f>
        <v>97.992284539403954</v>
      </c>
      <c r="I14" s="58">
        <f>IFERROR(G14/E14*100,0)</f>
        <v>98.029686174724333</v>
      </c>
      <c r="J14" s="59">
        <f>J15</f>
        <v>0</v>
      </c>
      <c r="K14" s="59">
        <f t="shared" ref="K14:AG14" si="32">K15</f>
        <v>0</v>
      </c>
      <c r="L14" s="59">
        <f t="shared" si="32"/>
        <v>0</v>
      </c>
      <c r="M14" s="59">
        <f t="shared" si="32"/>
        <v>0</v>
      </c>
      <c r="N14" s="59">
        <f t="shared" si="32"/>
        <v>0</v>
      </c>
      <c r="O14" s="59">
        <f t="shared" si="32"/>
        <v>0</v>
      </c>
      <c r="P14" s="59">
        <f t="shared" si="32"/>
        <v>0</v>
      </c>
      <c r="Q14" s="59">
        <f t="shared" si="32"/>
        <v>0</v>
      </c>
      <c r="R14" s="59">
        <f t="shared" si="32"/>
        <v>0</v>
      </c>
      <c r="S14" s="59">
        <f t="shared" si="32"/>
        <v>0</v>
      </c>
      <c r="T14" s="59">
        <f t="shared" si="32"/>
        <v>1.8</v>
      </c>
      <c r="U14" s="59">
        <f t="shared" si="32"/>
        <v>0</v>
      </c>
      <c r="V14" s="59">
        <f t="shared" si="32"/>
        <v>1.8</v>
      </c>
      <c r="W14" s="59">
        <f t="shared" si="32"/>
        <v>0</v>
      </c>
      <c r="X14" s="59">
        <f t="shared" si="32"/>
        <v>1.8</v>
      </c>
      <c r="Y14" s="59">
        <f t="shared" si="32"/>
        <v>0</v>
      </c>
      <c r="Z14" s="59">
        <f t="shared" si="32"/>
        <v>3425.88</v>
      </c>
      <c r="AA14" s="59">
        <f t="shared" si="32"/>
        <v>3424.08</v>
      </c>
      <c r="AB14" s="59">
        <f t="shared" si="32"/>
        <v>1284.72</v>
      </c>
      <c r="AC14" s="59">
        <f t="shared" si="32"/>
        <v>1199</v>
      </c>
      <c r="AD14" s="59">
        <f t="shared" si="32"/>
        <v>1.8</v>
      </c>
      <c r="AE14" s="59">
        <f t="shared" si="32"/>
        <v>0</v>
      </c>
      <c r="AF14" s="59">
        <f t="shared" si="32"/>
        <v>0</v>
      </c>
      <c r="AG14" s="59">
        <f t="shared" si="32"/>
        <v>0</v>
      </c>
      <c r="AH14" s="143" t="s">
        <v>422</v>
      </c>
      <c r="AI14" s="20"/>
    </row>
    <row r="15" spans="1:35" s="22" customFormat="1" ht="73.5" customHeight="1" x14ac:dyDescent="0.25">
      <c r="A15" s="583"/>
      <c r="B15" s="529"/>
      <c r="C15" s="61" t="s">
        <v>21</v>
      </c>
      <c r="D15" s="62">
        <f>SUM(J15,L15,N15,P15,R15,T15,V15,X15,Z15,AB15,AD15,AF15)</f>
        <v>4717.8</v>
      </c>
      <c r="E15" s="62">
        <f>J15+L15+N15+P15+R15+T15+V15+X15+Z15+AB15</f>
        <v>4716</v>
      </c>
      <c r="F15" s="62">
        <f>G15</f>
        <v>4623.08</v>
      </c>
      <c r="G15" s="62">
        <f>SUM(K15,M15,O15,Q15,S15,U15,W15,Y15,AA15,AC15,AE15,AG15)</f>
        <v>4623.08</v>
      </c>
      <c r="H15" s="62">
        <f>IFERROR(G15/D15*100,0)</f>
        <v>97.992284539403954</v>
      </c>
      <c r="I15" s="62">
        <f>IFERROR(G15/E15*100,0)</f>
        <v>98.029686174724333</v>
      </c>
      <c r="J15" s="63">
        <v>0</v>
      </c>
      <c r="K15" s="63">
        <v>0</v>
      </c>
      <c r="L15" s="63">
        <v>0</v>
      </c>
      <c r="M15" s="63">
        <v>0</v>
      </c>
      <c r="N15" s="63">
        <v>0</v>
      </c>
      <c r="O15" s="63">
        <v>0</v>
      </c>
      <c r="P15" s="63">
        <v>0</v>
      </c>
      <c r="Q15" s="63">
        <v>0</v>
      </c>
      <c r="R15" s="63">
        <v>0</v>
      </c>
      <c r="S15" s="63">
        <v>0</v>
      </c>
      <c r="T15" s="63">
        <v>1.8</v>
      </c>
      <c r="U15" s="63">
        <v>0</v>
      </c>
      <c r="V15" s="63">
        <v>1.8</v>
      </c>
      <c r="W15" s="63">
        <v>0</v>
      </c>
      <c r="X15" s="63">
        <v>1.8</v>
      </c>
      <c r="Y15" s="63">
        <v>0</v>
      </c>
      <c r="Z15" s="63">
        <v>3425.88</v>
      </c>
      <c r="AA15" s="63">
        <v>3424.08</v>
      </c>
      <c r="AB15" s="63">
        <v>1284.72</v>
      </c>
      <c r="AC15" s="63">
        <v>1199</v>
      </c>
      <c r="AD15" s="63">
        <v>1.8</v>
      </c>
      <c r="AE15" s="63">
        <v>0</v>
      </c>
      <c r="AF15" s="63">
        <v>0</v>
      </c>
      <c r="AG15" s="63">
        <v>0</v>
      </c>
      <c r="AH15" s="64"/>
      <c r="AI15" s="20"/>
    </row>
    <row r="16" spans="1:35" s="10" customFormat="1" x14ac:dyDescent="0.25">
      <c r="C16" s="17"/>
    </row>
  </sheetData>
  <customSheetViews>
    <customSheetView guid="{133BB3F8-8DD4-4AEF-8CD6-A5FB14681329}" scale="80" state="hidden">
      <pane xSplit="6" ySplit="7" topLeftCell="G8" activePane="bottomRight" state="frozen"/>
      <selection pane="bottomRight" activeCell="F6" sqref="F6"/>
      <pageMargins left="0.7" right="0.7" top="0.75" bottom="0.75" header="0.3" footer="0.3"/>
    </customSheetView>
    <customSheetView guid="{7C5A2A36-3D69-43D9-9018-A52C27EC78F9}" scale="80">
      <pane xSplit="6" ySplit="7" topLeftCell="G8" activePane="bottomRight" state="frozen"/>
      <selection pane="bottomRight" activeCell="J31" sqref="J31"/>
      <pageMargins left="0.7" right="0.7" top="0.75" bottom="0.75" header="0.3" footer="0.3"/>
    </customSheetView>
    <customSheetView guid="{2A5A11D4-90C6-4A3E-8165-7D7BD634B22F}" scale="80">
      <pane xSplit="6" ySplit="7" topLeftCell="G8" activePane="bottomRight" state="frozen"/>
      <selection pane="bottomRight" activeCell="J31" sqref="J31"/>
      <pageMargins left="0.7" right="0.7" top="0.75" bottom="0.75" header="0.3" footer="0.3"/>
    </customSheetView>
    <customSheetView guid="{996EC2F0-F6EC-4E63-A83E-34865157BD8D}" scale="80">
      <pane xSplit="6" ySplit="7" topLeftCell="G8" activePane="bottomRight" state="frozen"/>
      <selection pane="bottomRight" activeCell="J31" sqref="J31"/>
      <pageMargins left="0.7" right="0.7" top="0.75" bottom="0.75" header="0.3" footer="0.3"/>
    </customSheetView>
    <customSheetView guid="{AB9978E4-895D-4050-8F07-2484E22632D1}" scale="80">
      <pane xSplit="6" ySplit="7" topLeftCell="G8" activePane="bottomRight" state="frozen"/>
      <selection pane="bottomRight" activeCell="J31" sqref="J31"/>
      <pageMargins left="0.7" right="0.7" top="0.75" bottom="0.75" header="0.3" footer="0.3"/>
    </customSheetView>
    <customSheetView guid="{21E1D423-7B38-4272-8354-09B4DB62C9EB}" scale="80">
      <pane xSplit="6" ySplit="7" topLeftCell="G8" activePane="bottomRight" state="frozen"/>
      <selection pane="bottomRight" activeCell="J31" sqref="J31"/>
      <pageMargins left="0.7" right="0.7" top="0.75" bottom="0.75" header="0.3" footer="0.3"/>
    </customSheetView>
    <customSheetView guid="{2940A182-D1A7-43C5-8D6E-965BED4371B0}" scale="80">
      <pane xSplit="6" ySplit="7" topLeftCell="G8" activePane="bottomRight" state="frozen"/>
      <selection pane="bottomRight" activeCell="J31" sqref="J31"/>
      <pageMargins left="0.7" right="0.7" top="0.75" bottom="0.75" header="0.3" footer="0.3"/>
    </customSheetView>
    <customSheetView guid="{A0E2FBF6-E560-4343-8BE6-217DC798135B}" scale="80">
      <pane xSplit="6" ySplit="7" topLeftCell="G8" activePane="bottomRight" state="frozen"/>
      <selection pane="bottomRight" activeCell="J31" sqref="J31"/>
      <pageMargins left="0.7" right="0.7" top="0.75" bottom="0.75" header="0.3" footer="0.3"/>
    </customSheetView>
    <customSheetView guid="{BBF6B43F-E0FC-43DF-B91C-674F6AB4B556}" scale="80">
      <pane xSplit="6" ySplit="7" topLeftCell="G8" activePane="bottomRight" state="frozen"/>
      <selection pane="bottomRight" activeCell="J31" sqref="J31"/>
      <pageMargins left="0.7" right="0.7" top="0.75" bottom="0.75" header="0.3" footer="0.3"/>
    </customSheetView>
    <customSheetView guid="{C68436F4-AFB3-4D1D-A7C4-56D0C677D68E}" scale="80">
      <pane xSplit="6" ySplit="7" topLeftCell="G8" activePane="bottomRight" state="frozen"/>
      <selection pane="bottomRight" activeCell="J31" sqref="J31"/>
      <pageMargins left="0.7" right="0.7" top="0.75" bottom="0.75" header="0.3" footer="0.3"/>
    </customSheetView>
    <customSheetView guid="{DAEDC989-02E7-4319-8354-59410ACF3F1F}" scale="80">
      <pane xSplit="6" ySplit="7" topLeftCell="G8" activePane="bottomRight" state="frozen"/>
      <selection pane="bottomRight" activeCell="J31" sqref="J31"/>
      <pageMargins left="0.7" right="0.7" top="0.75" bottom="0.75" header="0.3" footer="0.3"/>
    </customSheetView>
    <customSheetView guid="{519948E4-0B24-465F-9D9E-44BE50D1D647}" scale="80">
      <pane xSplit="6" ySplit="7" topLeftCell="G8" activePane="bottomRight" state="frozen"/>
      <selection pane="bottomRight" activeCell="J31" sqref="J31"/>
      <pageMargins left="0.7" right="0.7" top="0.75" bottom="0.75" header="0.3" footer="0.3"/>
    </customSheetView>
    <customSheetView guid="{C7DC638A-7F60-46C9-A1FB-9ADEAE87F332}" scale="80">
      <pane xSplit="6" ySplit="7" topLeftCell="G8" activePane="bottomRight" state="frozen"/>
      <selection pane="bottomRight" activeCell="J31" sqref="J31"/>
      <pageMargins left="0.7" right="0.7" top="0.75" bottom="0.75" header="0.3" footer="0.3"/>
    </customSheetView>
    <customSheetView guid="{C01DC081-B312-4391-B775-A8CE76216D71}" scale="80">
      <pane xSplit="6" ySplit="7" topLeftCell="G8" activePane="bottomRight" state="frozen"/>
      <selection pane="bottomRight" activeCell="J31" sqref="J31"/>
      <pageMargins left="0.7" right="0.7" top="0.75" bottom="0.75" header="0.3" footer="0.3"/>
    </customSheetView>
    <customSheetView guid="{562453CE-35F5-40A3-AD14-6399D1197C99}" scale="80">
      <pane xSplit="6" ySplit="7" topLeftCell="G8" activePane="bottomRight" state="frozen"/>
      <selection pane="bottomRight" activeCell="J31" sqref="J31"/>
      <pageMargins left="0.7" right="0.7" top="0.75" bottom="0.75" header="0.3" footer="0.3"/>
    </customSheetView>
    <customSheetView guid="{A7640BE7-6438-4196-9A67-AF5B992A1E70}" scale="80">
      <pane xSplit="6" ySplit="7" topLeftCell="G8" activePane="bottomRight" state="frozen"/>
      <selection pane="bottomRight" activeCell="J31" sqref="J31"/>
      <pageMargins left="0.7" right="0.7" top="0.75" bottom="0.75" header="0.3" footer="0.3"/>
    </customSheetView>
    <customSheetView guid="{30B635D9-57DB-47D5-8A0F-4B30DD769960}" scale="80">
      <pane xSplit="6" ySplit="7" topLeftCell="G8" activePane="bottomRight" state="frozen"/>
      <selection pane="bottomRight" activeCell="J31" sqref="J31"/>
      <pageMargins left="0.7" right="0.7" top="0.75" bottom="0.75" header="0.3" footer="0.3"/>
    </customSheetView>
    <customSheetView guid="{20A05A62-CBE8-4538-BBC3-2AD9D3B8FAC0}" scale="80">
      <pane xSplit="6" ySplit="7" topLeftCell="G8" activePane="bottomRight" state="frozen"/>
      <selection pane="bottomRight" activeCell="J31" sqref="J31"/>
      <pageMargins left="0.7" right="0.7" top="0.75" bottom="0.75" header="0.3" footer="0.3"/>
    </customSheetView>
    <customSheetView guid="{C282AA4E-1BB5-4296-9AC6-844C0F88E5FC}" scale="80">
      <pane xSplit="6" ySplit="7" topLeftCell="G8" activePane="bottomRight" state="frozen"/>
      <selection pane="bottomRight" activeCell="J31" sqref="J31"/>
      <pageMargins left="0.7" right="0.7" top="0.75" bottom="0.75" header="0.3" footer="0.3"/>
    </customSheetView>
    <customSheetView guid="{4E221C17-6DAB-4FFA-B18C-35D4D85AF6E8}" scale="80">
      <pane xSplit="6" ySplit="7" topLeftCell="U15" activePane="bottomRight" state="frozen"/>
      <selection pane="bottomRight" activeCell="J31" sqref="J31"/>
      <pageMargins left="0.7" right="0.7" top="0.75" bottom="0.75" header="0.3" footer="0.3"/>
    </customSheetView>
    <customSheetView guid="{AFADB96A-0516-43C1-9F1B-0604F3CAC04A}" scale="80">
      <pane xSplit="6" ySplit="7" topLeftCell="G8" activePane="bottomRight" state="frozen"/>
      <selection pane="bottomRight" activeCell="J31" sqref="J31"/>
      <pageMargins left="0.7" right="0.7" top="0.75" bottom="0.75" header="0.3" footer="0.3"/>
    </customSheetView>
    <customSheetView guid="{F528EF6A-C113-49B5-B25F-D660F898CBFB}" scale="60">
      <pane xSplit="6" ySplit="7" topLeftCell="G12" activePane="bottomRight" state="frozen"/>
      <selection pane="bottomRight" activeCell="E16" sqref="E16"/>
      <pageMargins left="0.7" right="0.7" top="0.75" bottom="0.75" header="0.3" footer="0.3"/>
    </customSheetView>
    <customSheetView guid="{B6B60ED6-A6CC-4DA7-A8CA-5E6DB52D5A87}" scale="80">
      <pane xSplit="6" ySplit="7" topLeftCell="G8" activePane="bottomRight" state="frozen"/>
      <selection pane="bottomRight" activeCell="E16" sqref="E16"/>
      <pageMargins left="0.7" right="0.7" top="0.75" bottom="0.75" header="0.3" footer="0.3"/>
    </customSheetView>
    <customSheetView guid="{A4AF2100-C59D-4F60-9EAB-56D9103463F7}" scale="80">
      <pane xSplit="6" ySplit="7" topLeftCell="O8" activePane="bottomRight" state="frozen"/>
      <selection pane="bottomRight" activeCell="AH14" sqref="AH14"/>
      <pageMargins left="0.7" right="0.7" top="0.75" bottom="0.75" header="0.3" footer="0.3"/>
    </customSheetView>
    <customSheetView guid="{EA46B61D-849C-4795-A4FF-F8F1740022EB}" scale="80">
      <pane xSplit="6" ySplit="7" topLeftCell="G8" activePane="bottomRight" state="frozen"/>
      <selection pane="bottomRight" activeCell="J31" sqref="J31"/>
      <pageMargins left="0.7" right="0.7" top="0.75" bottom="0.75" header="0.3" footer="0.3"/>
    </customSheetView>
    <customSheetView guid="{B686A221-D885-4536-BEAC-E7F4BBC02150}" scale="80">
      <pane xSplit="6" ySplit="7" topLeftCell="G8" activePane="bottomRight" state="frozen"/>
      <selection pane="bottomRight" activeCell="E16" sqref="E16"/>
      <pageMargins left="0.7" right="0.7" top="0.75" bottom="0.75" header="0.3" footer="0.3"/>
    </customSheetView>
    <customSheetView guid="{60A1F930-4BEC-460A-8E14-01E47F6DD055}" scale="80">
      <pane xSplit="6" ySplit="4" topLeftCell="G8" activePane="bottomRight" state="frozen"/>
      <selection pane="bottomRight" activeCell="J31" sqref="J31"/>
      <pageMargins left="0.7" right="0.7" top="0.75" bottom="0.75" header="0.3" footer="0.3"/>
    </customSheetView>
    <customSheetView guid="{5DF2C78B-5EE4-439D-8D72-8D3A913B65F9}" scale="80">
      <pane xSplit="6" ySplit="7" topLeftCell="G8" activePane="bottomRight" state="frozen"/>
      <selection pane="bottomRight" activeCell="J31" sqref="J31"/>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G8" activePane="bottomRight" state="frozen"/>
      <selection pane="topRight" activeCell="G1" sqref="G1"/>
      <selection pane="bottomLeft" activeCell="A8" sqref="A8"/>
      <selection pane="bottomRight" activeCell="F6" sqref="F6"/>
    </sheetView>
  </sheetViews>
  <sheetFormatPr defaultColWidth="9.140625" defaultRowHeight="15.75" x14ac:dyDescent="0.25"/>
  <cols>
    <col min="1" max="1" width="4.42578125" style="53" customWidth="1"/>
    <col min="2" max="2" width="39.710937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22" width="11.5703125" style="53" customWidth="1"/>
    <col min="23" max="23" width="11.5703125" style="385" customWidth="1"/>
    <col min="24" max="33" width="11.5703125" style="53" customWidth="1"/>
    <col min="34" max="34" width="52.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382"/>
      <c r="X1" s="5"/>
      <c r="Y1" s="5"/>
      <c r="Z1" s="5"/>
      <c r="AA1" s="5"/>
      <c r="AB1" s="5"/>
      <c r="AC1" s="5"/>
      <c r="AD1" s="96"/>
      <c r="AE1" s="96"/>
      <c r="AF1" s="96"/>
      <c r="AG1" s="3"/>
      <c r="AH1" s="3"/>
    </row>
    <row r="2" spans="1:35" x14ac:dyDescent="0.25">
      <c r="C2" s="512" t="s">
        <v>24</v>
      </c>
      <c r="D2" s="512"/>
      <c r="E2" s="512"/>
      <c r="F2" s="512"/>
      <c r="G2" s="512"/>
      <c r="H2" s="512"/>
      <c r="I2" s="512"/>
      <c r="J2" s="512"/>
      <c r="K2" s="512"/>
      <c r="L2" s="512"/>
      <c r="M2" s="512"/>
      <c r="N2" s="512"/>
      <c r="O2" s="512"/>
      <c r="P2" s="512"/>
      <c r="Q2" s="512"/>
      <c r="R2" s="512"/>
      <c r="S2" s="512"/>
      <c r="T2" s="93"/>
      <c r="U2" s="93"/>
      <c r="V2" s="93"/>
      <c r="W2" s="383"/>
      <c r="X2" s="93"/>
      <c r="Y2" s="93"/>
      <c r="Z2" s="93"/>
      <c r="AA2" s="93"/>
      <c r="AB2" s="93"/>
      <c r="AC2" s="93"/>
      <c r="AD2" s="93"/>
      <c r="AE2" s="93"/>
      <c r="AF2" s="93"/>
      <c r="AG2" s="93"/>
      <c r="AH2" s="93"/>
    </row>
    <row r="3" spans="1:35" ht="36.75" customHeight="1" x14ac:dyDescent="0.25">
      <c r="C3" s="512" t="s">
        <v>25</v>
      </c>
      <c r="D3" s="512"/>
      <c r="E3" s="512"/>
      <c r="F3" s="512"/>
      <c r="G3" s="512"/>
      <c r="H3" s="512"/>
      <c r="I3" s="512"/>
      <c r="J3" s="512"/>
      <c r="K3" s="512"/>
      <c r="L3" s="512"/>
      <c r="M3" s="512"/>
      <c r="N3" s="512"/>
      <c r="O3" s="512"/>
      <c r="P3" s="512"/>
      <c r="Q3" s="512"/>
      <c r="R3" s="512"/>
      <c r="S3" s="512"/>
      <c r="T3" s="94"/>
      <c r="U3" s="94"/>
      <c r="V3" s="94"/>
      <c r="W3" s="384"/>
      <c r="X3" s="94"/>
      <c r="Y3" s="94"/>
      <c r="Z3" s="94"/>
      <c r="AA3" s="94"/>
      <c r="AB3" s="94"/>
      <c r="AC3" s="94"/>
      <c r="AD3" s="95"/>
      <c r="AE3" s="95"/>
      <c r="AF3" s="95"/>
      <c r="AG3" s="37" t="s">
        <v>0</v>
      </c>
      <c r="AH3" s="95"/>
    </row>
    <row r="4" spans="1:35" s="33"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33"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33" customFormat="1" ht="64.5" customHeight="1" x14ac:dyDescent="0.25">
      <c r="A6" s="516"/>
      <c r="B6" s="519"/>
      <c r="C6" s="519"/>
      <c r="D6" s="38">
        <v>2025</v>
      </c>
      <c r="E6" s="39">
        <v>45931</v>
      </c>
      <c r="F6" s="39">
        <v>45931</v>
      </c>
      <c r="G6" s="39">
        <v>45931</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49" t="s">
        <v>19</v>
      </c>
      <c r="X6" s="11" t="s">
        <v>18</v>
      </c>
      <c r="Y6" s="11" t="s">
        <v>19</v>
      </c>
      <c r="Z6" s="11" t="s">
        <v>18</v>
      </c>
      <c r="AA6" s="11" t="s">
        <v>19</v>
      </c>
      <c r="AB6" s="11" t="s">
        <v>18</v>
      </c>
      <c r="AC6" s="11" t="s">
        <v>19</v>
      </c>
      <c r="AD6" s="11" t="s">
        <v>18</v>
      </c>
      <c r="AE6" s="11" t="s">
        <v>19</v>
      </c>
      <c r="AF6" s="11" t="s">
        <v>18</v>
      </c>
      <c r="AG6" s="11" t="s">
        <v>19</v>
      </c>
      <c r="AH6" s="529"/>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40">
        <v>23</v>
      </c>
      <c r="X7" s="56">
        <v>24</v>
      </c>
      <c r="Y7" s="56">
        <v>25</v>
      </c>
      <c r="Z7" s="56">
        <v>26</v>
      </c>
      <c r="AA7" s="56">
        <v>27</v>
      </c>
      <c r="AB7" s="56">
        <v>28</v>
      </c>
      <c r="AC7" s="56">
        <v>29</v>
      </c>
      <c r="AD7" s="56">
        <v>30</v>
      </c>
      <c r="AE7" s="56">
        <v>31</v>
      </c>
      <c r="AF7" s="56">
        <v>32</v>
      </c>
      <c r="AG7" s="56">
        <v>33</v>
      </c>
      <c r="AH7" s="56">
        <v>34</v>
      </c>
    </row>
    <row r="8" spans="1:35" s="100" customFormat="1" ht="31.5" customHeight="1" x14ac:dyDescent="0.25">
      <c r="A8" s="610"/>
      <c r="B8" s="527" t="s">
        <v>23</v>
      </c>
      <c r="C8" s="97" t="s">
        <v>20</v>
      </c>
      <c r="D8" s="98">
        <f>SUM(D9:D9)</f>
        <v>36061.004000000001</v>
      </c>
      <c r="E8" s="98">
        <f>SUM(E9:E9)</f>
        <v>27659.096999999998</v>
      </c>
      <c r="F8" s="98">
        <f>SUM(F9:F9)</f>
        <v>26590.747000000003</v>
      </c>
      <c r="G8" s="98">
        <f>SUM(G9:G9)</f>
        <v>26590.747000000003</v>
      </c>
      <c r="H8" s="98">
        <f>IFERROR(G8/D8*100,0)</f>
        <v>73.738232579436797</v>
      </c>
      <c r="I8" s="98">
        <f>IFERROR(G8/E8*100,0)</f>
        <v>96.1374371694058</v>
      </c>
      <c r="J8" s="99">
        <f t="shared" ref="J8:AG8" si="0">SUM(J9:J9)</f>
        <v>4745.6509999999998</v>
      </c>
      <c r="K8" s="99">
        <f t="shared" si="0"/>
        <v>2509.02</v>
      </c>
      <c r="L8" s="99">
        <f t="shared" si="0"/>
        <v>3120.6909999999998</v>
      </c>
      <c r="M8" s="99">
        <f t="shared" si="0"/>
        <v>3210.2570000000001</v>
      </c>
      <c r="N8" s="99">
        <f t="shared" si="0"/>
        <v>2114.6239999999998</v>
      </c>
      <c r="O8" s="99">
        <f t="shared" si="0"/>
        <v>2424.4499999999998</v>
      </c>
      <c r="P8" s="99">
        <f t="shared" si="0"/>
        <v>3761.6179999999995</v>
      </c>
      <c r="Q8" s="99">
        <f t="shared" si="0"/>
        <v>2464.1099999999997</v>
      </c>
      <c r="R8" s="99">
        <f t="shared" si="0"/>
        <v>2934.7120000000004</v>
      </c>
      <c r="S8" s="99">
        <f t="shared" si="0"/>
        <v>3158.94</v>
      </c>
      <c r="T8" s="99">
        <f t="shared" si="0"/>
        <v>2112.5889999999999</v>
      </c>
      <c r="U8" s="99">
        <f t="shared" si="0"/>
        <v>3125.48</v>
      </c>
      <c r="V8" s="99">
        <f t="shared" si="0"/>
        <v>3831.5759999999996</v>
      </c>
      <c r="W8" s="110">
        <f t="shared" si="0"/>
        <v>3511</v>
      </c>
      <c r="X8" s="99">
        <f t="shared" si="0"/>
        <v>2767.8269999999998</v>
      </c>
      <c r="Y8" s="99">
        <f t="shared" si="0"/>
        <v>2626.3810000000003</v>
      </c>
      <c r="Z8" s="99">
        <f t="shared" si="0"/>
        <v>2269.8090000000002</v>
      </c>
      <c r="AA8" s="99">
        <f t="shared" si="0"/>
        <v>3561.1089999999999</v>
      </c>
      <c r="AB8" s="99">
        <f t="shared" si="0"/>
        <v>3097.9949999999999</v>
      </c>
      <c r="AC8" s="99">
        <f t="shared" si="0"/>
        <v>0</v>
      </c>
      <c r="AD8" s="99">
        <f t="shared" si="0"/>
        <v>2631.308</v>
      </c>
      <c r="AE8" s="99">
        <f t="shared" si="0"/>
        <v>0</v>
      </c>
      <c r="AF8" s="99">
        <f t="shared" si="0"/>
        <v>2672.6039999999998</v>
      </c>
      <c r="AG8" s="99">
        <f t="shared" si="0"/>
        <v>0</v>
      </c>
      <c r="AH8" s="60"/>
    </row>
    <row r="9" spans="1:35" s="33" customFormat="1" ht="38.25" customHeight="1" x14ac:dyDescent="0.25">
      <c r="A9" s="612"/>
      <c r="B9" s="529"/>
      <c r="C9" s="101" t="s">
        <v>21</v>
      </c>
      <c r="D9" s="102">
        <f>D12+D15</f>
        <v>36061.004000000001</v>
      </c>
      <c r="E9" s="102">
        <f t="shared" ref="E9:G9" si="1">E12+E15</f>
        <v>27659.096999999998</v>
      </c>
      <c r="F9" s="102">
        <f t="shared" si="1"/>
        <v>26590.747000000003</v>
      </c>
      <c r="G9" s="102">
        <f t="shared" si="1"/>
        <v>26590.747000000003</v>
      </c>
      <c r="H9" s="102">
        <f>IFERROR(G9/D9*100,0)</f>
        <v>73.738232579436797</v>
      </c>
      <c r="I9" s="102">
        <f>IFERROR(G9/E9*100,0)</f>
        <v>96.1374371694058</v>
      </c>
      <c r="J9" s="103">
        <f>J12+J15</f>
        <v>4745.6509999999998</v>
      </c>
      <c r="K9" s="103">
        <f t="shared" ref="K9:AG9" si="2">K12+K15</f>
        <v>2509.02</v>
      </c>
      <c r="L9" s="103">
        <f t="shared" si="2"/>
        <v>3120.6909999999998</v>
      </c>
      <c r="M9" s="103">
        <f t="shared" si="2"/>
        <v>3210.2570000000001</v>
      </c>
      <c r="N9" s="103">
        <f t="shared" si="2"/>
        <v>2114.6239999999998</v>
      </c>
      <c r="O9" s="103">
        <f t="shared" si="2"/>
        <v>2424.4499999999998</v>
      </c>
      <c r="P9" s="103">
        <f t="shared" si="2"/>
        <v>3761.6179999999995</v>
      </c>
      <c r="Q9" s="103">
        <f t="shared" si="2"/>
        <v>2464.1099999999997</v>
      </c>
      <c r="R9" s="103">
        <f t="shared" si="2"/>
        <v>2934.7120000000004</v>
      </c>
      <c r="S9" s="103">
        <f t="shared" si="2"/>
        <v>3158.94</v>
      </c>
      <c r="T9" s="103">
        <f t="shared" si="2"/>
        <v>2112.5889999999999</v>
      </c>
      <c r="U9" s="103">
        <f t="shared" si="2"/>
        <v>3125.48</v>
      </c>
      <c r="V9" s="103">
        <f t="shared" si="2"/>
        <v>3831.5759999999996</v>
      </c>
      <c r="W9" s="114">
        <f t="shared" si="2"/>
        <v>3511</v>
      </c>
      <c r="X9" s="103">
        <f t="shared" si="2"/>
        <v>2767.8269999999998</v>
      </c>
      <c r="Y9" s="103">
        <f t="shared" si="2"/>
        <v>2626.3810000000003</v>
      </c>
      <c r="Z9" s="103">
        <f t="shared" si="2"/>
        <v>2269.8090000000002</v>
      </c>
      <c r="AA9" s="103">
        <f t="shared" si="2"/>
        <v>3561.1089999999999</v>
      </c>
      <c r="AB9" s="103">
        <f t="shared" si="2"/>
        <v>3097.9949999999999</v>
      </c>
      <c r="AC9" s="103">
        <f t="shared" si="2"/>
        <v>0</v>
      </c>
      <c r="AD9" s="103">
        <f t="shared" si="2"/>
        <v>2631.308</v>
      </c>
      <c r="AE9" s="103">
        <f t="shared" si="2"/>
        <v>0</v>
      </c>
      <c r="AF9" s="103">
        <f t="shared" si="2"/>
        <v>2672.6039999999998</v>
      </c>
      <c r="AG9" s="103">
        <f t="shared" si="2"/>
        <v>0</v>
      </c>
      <c r="AH9" s="64"/>
    </row>
    <row r="10" spans="1:35" s="33" customFormat="1" ht="18.75" customHeight="1" x14ac:dyDescent="0.25">
      <c r="A10" s="104"/>
      <c r="B10" s="536" t="s">
        <v>31</v>
      </c>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8"/>
      <c r="AH10" s="64"/>
    </row>
    <row r="11" spans="1:35" s="100" customFormat="1" ht="81.75" customHeight="1" x14ac:dyDescent="0.25">
      <c r="A11" s="539" t="s">
        <v>37</v>
      </c>
      <c r="B11" s="514" t="s">
        <v>33</v>
      </c>
      <c r="C11" s="97" t="s">
        <v>20</v>
      </c>
      <c r="D11" s="98">
        <f>SUM(D12:D12)</f>
        <v>115</v>
      </c>
      <c r="E11" s="98">
        <f>SUM(E12:E12)</f>
        <v>88.709000000000003</v>
      </c>
      <c r="F11" s="98">
        <f>SUM(F12:F12)</f>
        <v>72.25</v>
      </c>
      <c r="G11" s="98">
        <f>SUM(G12:G12)</f>
        <v>72.25</v>
      </c>
      <c r="H11" s="98">
        <f>IFERROR(G11/D11*100,0)</f>
        <v>62.826086956521742</v>
      </c>
      <c r="I11" s="98">
        <f>IFERROR(G11/E11*100,0)</f>
        <v>81.446076497311424</v>
      </c>
      <c r="J11" s="99">
        <f t="shared" ref="J11:AG11" si="3">SUM(J12:J12)</f>
        <v>0</v>
      </c>
      <c r="K11" s="99">
        <f t="shared" si="3"/>
        <v>0</v>
      </c>
      <c r="L11" s="99">
        <f t="shared" si="3"/>
        <v>0</v>
      </c>
      <c r="M11" s="99">
        <f t="shared" si="3"/>
        <v>0</v>
      </c>
      <c r="N11" s="99">
        <f t="shared" si="3"/>
        <v>19.495000000000001</v>
      </c>
      <c r="O11" s="99">
        <f t="shared" si="3"/>
        <v>0</v>
      </c>
      <c r="P11" s="99">
        <f t="shared" si="3"/>
        <v>9.2780000000000005</v>
      </c>
      <c r="Q11" s="99">
        <f t="shared" si="3"/>
        <v>23.306999999999999</v>
      </c>
      <c r="R11" s="99">
        <f t="shared" si="3"/>
        <v>11.349</v>
      </c>
      <c r="S11" s="99">
        <f t="shared" si="3"/>
        <v>0</v>
      </c>
      <c r="T11" s="99">
        <f t="shared" si="3"/>
        <v>9.8550000000000004</v>
      </c>
      <c r="U11" s="99">
        <f t="shared" si="3"/>
        <v>9.8079999999999998</v>
      </c>
      <c r="V11" s="99">
        <f t="shared" si="3"/>
        <v>11.336</v>
      </c>
      <c r="W11" s="110">
        <f t="shared" si="3"/>
        <v>8.5500000000000007</v>
      </c>
      <c r="X11" s="99">
        <f t="shared" si="3"/>
        <v>15.365</v>
      </c>
      <c r="Y11" s="99">
        <f t="shared" si="3"/>
        <v>14.57</v>
      </c>
      <c r="Z11" s="99">
        <f t="shared" si="3"/>
        <v>12.031000000000001</v>
      </c>
      <c r="AA11" s="99">
        <f t="shared" si="3"/>
        <v>16.015000000000001</v>
      </c>
      <c r="AB11" s="99">
        <f t="shared" si="3"/>
        <v>13.260999999999999</v>
      </c>
      <c r="AC11" s="99">
        <f t="shared" si="3"/>
        <v>0</v>
      </c>
      <c r="AD11" s="99">
        <f t="shared" si="3"/>
        <v>12.561999999999999</v>
      </c>
      <c r="AE11" s="99">
        <f t="shared" si="3"/>
        <v>0</v>
      </c>
      <c r="AF11" s="99">
        <f t="shared" si="3"/>
        <v>0.46800000000000003</v>
      </c>
      <c r="AG11" s="99">
        <f t="shared" si="3"/>
        <v>0</v>
      </c>
      <c r="AH11" s="60"/>
      <c r="AI11" s="105"/>
    </row>
    <row r="12" spans="1:35" s="33" customFormat="1" ht="86.25" customHeight="1" x14ac:dyDescent="0.25">
      <c r="A12" s="541"/>
      <c r="B12" s="516"/>
      <c r="C12" s="101" t="s">
        <v>21</v>
      </c>
      <c r="D12" s="102">
        <f>SUM(J12,L12,N12,P12,R12,T12,V12,X12,Z12,AB12,AD12,AF12)</f>
        <v>115</v>
      </c>
      <c r="E12" s="102">
        <f>J12+L12+N12+P12+R12+T12+V12+X12+Z12</f>
        <v>88.709000000000003</v>
      </c>
      <c r="F12" s="102">
        <f>G12</f>
        <v>72.25</v>
      </c>
      <c r="G12" s="102">
        <f>SUM(K12,M12,O12,Q12,S12,U12,W12,Y12,AA12,AC12,AE12,AG12)</f>
        <v>72.25</v>
      </c>
      <c r="H12" s="102">
        <f>IFERROR(G12/D12*100,0)</f>
        <v>62.826086956521742</v>
      </c>
      <c r="I12" s="102">
        <f>IFERROR(G12/E12*100,0)</f>
        <v>81.446076497311424</v>
      </c>
      <c r="J12" s="103">
        <v>0</v>
      </c>
      <c r="K12" s="103">
        <v>0</v>
      </c>
      <c r="L12" s="103">
        <v>0</v>
      </c>
      <c r="M12" s="103">
        <v>0</v>
      </c>
      <c r="N12" s="103">
        <v>19.495000000000001</v>
      </c>
      <c r="O12" s="103">
        <v>0</v>
      </c>
      <c r="P12" s="103">
        <v>9.2780000000000005</v>
      </c>
      <c r="Q12" s="103">
        <v>23.306999999999999</v>
      </c>
      <c r="R12" s="103">
        <v>11.349</v>
      </c>
      <c r="S12" s="103">
        <v>0</v>
      </c>
      <c r="T12" s="103">
        <v>9.8550000000000004</v>
      </c>
      <c r="U12" s="103">
        <v>9.8079999999999998</v>
      </c>
      <c r="V12" s="103">
        <v>11.336</v>
      </c>
      <c r="W12" s="114">
        <v>8.5500000000000007</v>
      </c>
      <c r="X12" s="103">
        <v>15.365</v>
      </c>
      <c r="Y12" s="103">
        <v>14.57</v>
      </c>
      <c r="Z12" s="103">
        <v>12.031000000000001</v>
      </c>
      <c r="AA12" s="103">
        <v>16.015000000000001</v>
      </c>
      <c r="AB12" s="103">
        <v>13.260999999999999</v>
      </c>
      <c r="AC12" s="103">
        <v>0</v>
      </c>
      <c r="AD12" s="103">
        <v>12.561999999999999</v>
      </c>
      <c r="AE12" s="103">
        <v>0</v>
      </c>
      <c r="AF12" s="103">
        <v>0.46800000000000003</v>
      </c>
      <c r="AG12" s="103">
        <v>0</v>
      </c>
      <c r="AH12" s="64" t="s">
        <v>370</v>
      </c>
      <c r="AI12" s="106"/>
    </row>
    <row r="13" spans="1:35" s="33" customFormat="1" ht="21" customHeight="1" x14ac:dyDescent="0.25">
      <c r="A13" s="107"/>
      <c r="B13" s="536" t="s">
        <v>32</v>
      </c>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8"/>
      <c r="AH13" s="64"/>
      <c r="AI13" s="106"/>
    </row>
    <row r="14" spans="1:35" s="100" customFormat="1" ht="47.25" customHeight="1" x14ac:dyDescent="0.25">
      <c r="A14" s="539" t="s">
        <v>38</v>
      </c>
      <c r="B14" s="514" t="s">
        <v>34</v>
      </c>
      <c r="C14" s="97" t="s">
        <v>20</v>
      </c>
      <c r="D14" s="98">
        <f>SUM(D15:D15)</f>
        <v>35946.004000000001</v>
      </c>
      <c r="E14" s="98">
        <f>SUM(E15:E15)</f>
        <v>27570.387999999999</v>
      </c>
      <c r="F14" s="98">
        <f>SUM(F15:F15)</f>
        <v>26518.497000000003</v>
      </c>
      <c r="G14" s="98">
        <f>SUM(G15:G15)</f>
        <v>26518.497000000003</v>
      </c>
      <c r="H14" s="98">
        <f t="shared" ref="H14:H19" si="4">IFERROR(G14/D14*100,0)</f>
        <v>73.773143184427397</v>
      </c>
      <c r="I14" s="98">
        <f t="shared" ref="I14:I19" si="5">IFERROR(G14/E14*100,0)</f>
        <v>96.184707302632106</v>
      </c>
      <c r="J14" s="99">
        <f t="shared" ref="J14:AG14" si="6">SUM(J15:J15)</f>
        <v>4745.6509999999998</v>
      </c>
      <c r="K14" s="99">
        <f t="shared" si="6"/>
        <v>2509.02</v>
      </c>
      <c r="L14" s="99">
        <f t="shared" si="6"/>
        <v>3120.6909999999998</v>
      </c>
      <c r="M14" s="99">
        <f t="shared" si="6"/>
        <v>3210.2570000000001</v>
      </c>
      <c r="N14" s="99">
        <f t="shared" si="6"/>
        <v>2095.1289999999999</v>
      </c>
      <c r="O14" s="99">
        <f t="shared" si="6"/>
        <v>2424.4499999999998</v>
      </c>
      <c r="P14" s="99">
        <f t="shared" si="6"/>
        <v>3752.3399999999997</v>
      </c>
      <c r="Q14" s="99">
        <f t="shared" si="6"/>
        <v>2440.8029999999999</v>
      </c>
      <c r="R14" s="99">
        <f t="shared" si="6"/>
        <v>2923.3630000000003</v>
      </c>
      <c r="S14" s="99">
        <f t="shared" si="6"/>
        <v>3158.94</v>
      </c>
      <c r="T14" s="99">
        <f t="shared" si="6"/>
        <v>2102.7339999999999</v>
      </c>
      <c r="U14" s="99">
        <f t="shared" si="6"/>
        <v>3115.672</v>
      </c>
      <c r="V14" s="99">
        <f t="shared" si="6"/>
        <v>3820.24</v>
      </c>
      <c r="W14" s="110">
        <f t="shared" si="6"/>
        <v>3502.45</v>
      </c>
      <c r="X14" s="99">
        <f t="shared" si="6"/>
        <v>2752.462</v>
      </c>
      <c r="Y14" s="99">
        <f t="shared" si="6"/>
        <v>2611.8110000000001</v>
      </c>
      <c r="Z14" s="99">
        <f t="shared" si="6"/>
        <v>2257.7780000000002</v>
      </c>
      <c r="AA14" s="99">
        <f t="shared" si="6"/>
        <v>3545.0940000000001</v>
      </c>
      <c r="AB14" s="99">
        <f t="shared" si="6"/>
        <v>3084.7339999999999</v>
      </c>
      <c r="AC14" s="99">
        <f t="shared" si="6"/>
        <v>0</v>
      </c>
      <c r="AD14" s="99">
        <f t="shared" si="6"/>
        <v>2618.7460000000001</v>
      </c>
      <c r="AE14" s="99">
        <f t="shared" si="6"/>
        <v>0</v>
      </c>
      <c r="AF14" s="99">
        <f t="shared" si="6"/>
        <v>2672.136</v>
      </c>
      <c r="AG14" s="99">
        <f t="shared" si="6"/>
        <v>0</v>
      </c>
      <c r="AH14" s="64" t="s">
        <v>332</v>
      </c>
      <c r="AI14" s="106"/>
    </row>
    <row r="15" spans="1:35" s="33" customFormat="1" ht="42" customHeight="1" x14ac:dyDescent="0.25">
      <c r="A15" s="541"/>
      <c r="B15" s="516"/>
      <c r="C15" s="101" t="s">
        <v>21</v>
      </c>
      <c r="D15" s="102">
        <f>SUM(J15,L15,N15,P15,R15,T15,V15,X15,Z15,AB15,AD15,AF15)</f>
        <v>35946.004000000001</v>
      </c>
      <c r="E15" s="102">
        <f>J15+L15+N15+P15+R15+T15+V15+X15+Z15</f>
        <v>27570.387999999999</v>
      </c>
      <c r="F15" s="102">
        <f>G15</f>
        <v>26518.497000000003</v>
      </c>
      <c r="G15" s="102">
        <f>SUM(K15,M15,O15,Q15,S15,U15,W15,Y15,AA15,AC15,AE15,AG15)</f>
        <v>26518.497000000003</v>
      </c>
      <c r="H15" s="102">
        <f t="shared" si="4"/>
        <v>73.773143184427397</v>
      </c>
      <c r="I15" s="102">
        <f t="shared" si="5"/>
        <v>96.184707302632106</v>
      </c>
      <c r="J15" s="103">
        <f>J17+J19</f>
        <v>4745.6509999999998</v>
      </c>
      <c r="K15" s="103">
        <f t="shared" ref="K15:AG15" si="7">K17+K19</f>
        <v>2509.02</v>
      </c>
      <c r="L15" s="103">
        <f t="shared" si="7"/>
        <v>3120.6909999999998</v>
      </c>
      <c r="M15" s="103">
        <f t="shared" si="7"/>
        <v>3210.2570000000001</v>
      </c>
      <c r="N15" s="103">
        <f t="shared" si="7"/>
        <v>2095.1289999999999</v>
      </c>
      <c r="O15" s="103">
        <f t="shared" si="7"/>
        <v>2424.4499999999998</v>
      </c>
      <c r="P15" s="103">
        <f t="shared" si="7"/>
        <v>3752.3399999999997</v>
      </c>
      <c r="Q15" s="103">
        <f t="shared" si="7"/>
        <v>2440.8029999999999</v>
      </c>
      <c r="R15" s="103">
        <f t="shared" si="7"/>
        <v>2923.3630000000003</v>
      </c>
      <c r="S15" s="103">
        <f t="shared" si="7"/>
        <v>3158.94</v>
      </c>
      <c r="T15" s="103">
        <f t="shared" si="7"/>
        <v>2102.7339999999999</v>
      </c>
      <c r="U15" s="103">
        <f t="shared" si="7"/>
        <v>3115.672</v>
      </c>
      <c r="V15" s="103">
        <f t="shared" si="7"/>
        <v>3820.24</v>
      </c>
      <c r="W15" s="114">
        <f t="shared" si="7"/>
        <v>3502.45</v>
      </c>
      <c r="X15" s="103">
        <f t="shared" si="7"/>
        <v>2752.462</v>
      </c>
      <c r="Y15" s="103">
        <f t="shared" si="7"/>
        <v>2611.8110000000001</v>
      </c>
      <c r="Z15" s="103">
        <f t="shared" si="7"/>
        <v>2257.7780000000002</v>
      </c>
      <c r="AA15" s="103">
        <f t="shared" si="7"/>
        <v>3545.0940000000001</v>
      </c>
      <c r="AB15" s="103">
        <f t="shared" si="7"/>
        <v>3084.7339999999999</v>
      </c>
      <c r="AC15" s="103">
        <f t="shared" si="7"/>
        <v>0</v>
      </c>
      <c r="AD15" s="103">
        <f t="shared" si="7"/>
        <v>2618.7460000000001</v>
      </c>
      <c r="AE15" s="103">
        <f t="shared" si="7"/>
        <v>0</v>
      </c>
      <c r="AF15" s="103">
        <f t="shared" si="7"/>
        <v>2672.136</v>
      </c>
      <c r="AG15" s="103">
        <f t="shared" si="7"/>
        <v>0</v>
      </c>
      <c r="AH15" s="64"/>
      <c r="AI15" s="106"/>
    </row>
    <row r="16" spans="1:35" s="100" customFormat="1" ht="34.5" customHeight="1" x14ac:dyDescent="0.25">
      <c r="A16" s="610"/>
      <c r="B16" s="662" t="s">
        <v>35</v>
      </c>
      <c r="C16" s="108" t="s">
        <v>20</v>
      </c>
      <c r="D16" s="109">
        <f>D17</f>
        <v>27692.403999999999</v>
      </c>
      <c r="E16" s="109">
        <f t="shared" ref="E16:G16" si="8">E17</f>
        <v>21123.976999999999</v>
      </c>
      <c r="F16" s="109">
        <f t="shared" si="8"/>
        <v>20242.013999999999</v>
      </c>
      <c r="G16" s="109">
        <f t="shared" si="8"/>
        <v>20242.013999999999</v>
      </c>
      <c r="H16" s="109">
        <f t="shared" si="4"/>
        <v>73.095907455344076</v>
      </c>
      <c r="I16" s="109">
        <f t="shared" si="5"/>
        <v>95.824825031763666</v>
      </c>
      <c r="J16" s="110">
        <f>J17</f>
        <v>3608.3850000000002</v>
      </c>
      <c r="K16" s="110">
        <f t="shared" ref="K16:AG16" si="9">K17</f>
        <v>1837.2719999999999</v>
      </c>
      <c r="L16" s="110">
        <f t="shared" si="9"/>
        <v>2411.4769999999999</v>
      </c>
      <c r="M16" s="110">
        <f t="shared" si="9"/>
        <v>2429.4</v>
      </c>
      <c r="N16" s="110">
        <f t="shared" si="9"/>
        <v>1615.4349999999999</v>
      </c>
      <c r="O16" s="110">
        <f t="shared" si="9"/>
        <v>1895.7860000000001</v>
      </c>
      <c r="P16" s="110">
        <f t="shared" si="9"/>
        <v>2890.9209999999998</v>
      </c>
      <c r="Q16" s="110">
        <f t="shared" si="9"/>
        <v>1835.8309999999999</v>
      </c>
      <c r="R16" s="110">
        <f t="shared" si="9"/>
        <v>2278.1320000000001</v>
      </c>
      <c r="S16" s="110">
        <f t="shared" si="9"/>
        <v>2216.1950000000002</v>
      </c>
      <c r="T16" s="110">
        <f t="shared" si="9"/>
        <v>1623.04</v>
      </c>
      <c r="U16" s="110">
        <f t="shared" si="9"/>
        <v>2526.299</v>
      </c>
      <c r="V16" s="110">
        <f t="shared" si="9"/>
        <v>2890.9209999999998</v>
      </c>
      <c r="W16" s="110">
        <f t="shared" si="9"/>
        <v>2524.64</v>
      </c>
      <c r="X16" s="110">
        <f t="shared" si="9"/>
        <v>2175.1309999999999</v>
      </c>
      <c r="Y16" s="110">
        <f t="shared" si="9"/>
        <v>2132.587</v>
      </c>
      <c r="Z16" s="110">
        <f t="shared" si="9"/>
        <v>1630.5350000000001</v>
      </c>
      <c r="AA16" s="110">
        <f t="shared" si="9"/>
        <v>2844.0039999999999</v>
      </c>
      <c r="AB16" s="110">
        <f t="shared" si="9"/>
        <v>2378.1779999999999</v>
      </c>
      <c r="AC16" s="110">
        <f t="shared" si="9"/>
        <v>0</v>
      </c>
      <c r="AD16" s="110">
        <f t="shared" si="9"/>
        <v>2020.2840000000001</v>
      </c>
      <c r="AE16" s="110">
        <f t="shared" si="9"/>
        <v>0</v>
      </c>
      <c r="AF16" s="110">
        <f t="shared" si="9"/>
        <v>2169.9650000000001</v>
      </c>
      <c r="AG16" s="110">
        <f t="shared" si="9"/>
        <v>0</v>
      </c>
      <c r="AH16" s="179"/>
      <c r="AI16" s="105"/>
    </row>
    <row r="17" spans="1:35" s="33" customFormat="1" ht="39.75" customHeight="1" x14ac:dyDescent="0.25">
      <c r="A17" s="612"/>
      <c r="B17" s="663"/>
      <c r="C17" s="112" t="s">
        <v>21</v>
      </c>
      <c r="D17" s="113">
        <f>SUM(J17,L17,N17,P17,R17,T17,V17,X17,Z17,AB17,AD17,AF17)</f>
        <v>27692.403999999999</v>
      </c>
      <c r="E17" s="113">
        <f>J17+L17+N17+P17+R17+T17+V17+X17+Z17</f>
        <v>21123.976999999999</v>
      </c>
      <c r="F17" s="113">
        <f>G17</f>
        <v>20242.013999999999</v>
      </c>
      <c r="G17" s="113">
        <f>SUM(K17,M17,O17,Q17,S17,U17,W17,Y17,AA17,AC17,AE17,AG17)</f>
        <v>20242.013999999999</v>
      </c>
      <c r="H17" s="113">
        <f t="shared" si="4"/>
        <v>73.095907455344076</v>
      </c>
      <c r="I17" s="113">
        <f t="shared" si="5"/>
        <v>95.824825031763666</v>
      </c>
      <c r="J17" s="114">
        <v>3608.3850000000002</v>
      </c>
      <c r="K17" s="114">
        <v>1837.2719999999999</v>
      </c>
      <c r="L17" s="114">
        <v>2411.4769999999999</v>
      </c>
      <c r="M17" s="114">
        <v>2429.4</v>
      </c>
      <c r="N17" s="114">
        <v>1615.4349999999999</v>
      </c>
      <c r="O17" s="114">
        <v>1895.7860000000001</v>
      </c>
      <c r="P17" s="114">
        <v>2890.9209999999998</v>
      </c>
      <c r="Q17" s="114">
        <v>1835.8309999999999</v>
      </c>
      <c r="R17" s="114">
        <v>2278.1320000000001</v>
      </c>
      <c r="S17" s="114">
        <v>2216.1950000000002</v>
      </c>
      <c r="T17" s="114">
        <v>1623.04</v>
      </c>
      <c r="U17" s="114">
        <v>2526.299</v>
      </c>
      <c r="V17" s="114">
        <v>2890.9209999999998</v>
      </c>
      <c r="W17" s="114">
        <v>2524.64</v>
      </c>
      <c r="X17" s="114">
        <v>2175.1309999999999</v>
      </c>
      <c r="Y17" s="114">
        <v>2132.587</v>
      </c>
      <c r="Z17" s="114">
        <v>1630.5350000000001</v>
      </c>
      <c r="AA17" s="114">
        <v>2844.0039999999999</v>
      </c>
      <c r="AB17" s="114">
        <v>2378.1779999999999</v>
      </c>
      <c r="AC17" s="114">
        <v>0</v>
      </c>
      <c r="AD17" s="114">
        <v>2020.2840000000001</v>
      </c>
      <c r="AE17" s="114">
        <v>0</v>
      </c>
      <c r="AF17" s="114">
        <v>2169.9650000000001</v>
      </c>
      <c r="AG17" s="114">
        <v>0</v>
      </c>
      <c r="AH17" s="111"/>
      <c r="AI17" s="106"/>
    </row>
    <row r="18" spans="1:35" s="100" customFormat="1" ht="35.25" customHeight="1" x14ac:dyDescent="0.25">
      <c r="A18" s="610"/>
      <c r="B18" s="662" t="s">
        <v>36</v>
      </c>
      <c r="C18" s="108" t="s">
        <v>20</v>
      </c>
      <c r="D18" s="109">
        <f>D19</f>
        <v>8253.6</v>
      </c>
      <c r="E18" s="109">
        <f t="shared" ref="E18:G18" si="10">E19</f>
        <v>6446.4110000000001</v>
      </c>
      <c r="F18" s="109">
        <f t="shared" si="10"/>
        <v>6276.4830000000002</v>
      </c>
      <c r="G18" s="109">
        <f t="shared" si="10"/>
        <v>6276.4830000000002</v>
      </c>
      <c r="H18" s="109">
        <f t="shared" si="4"/>
        <v>76.045398371619655</v>
      </c>
      <c r="I18" s="109">
        <f t="shared" si="5"/>
        <v>97.363990598799859</v>
      </c>
      <c r="J18" s="110">
        <f>J19</f>
        <v>1137.2660000000001</v>
      </c>
      <c r="K18" s="110">
        <f t="shared" ref="K18:AG18" si="11">K19</f>
        <v>671.74800000000005</v>
      </c>
      <c r="L18" s="110">
        <f t="shared" si="11"/>
        <v>709.21400000000006</v>
      </c>
      <c r="M18" s="110">
        <f t="shared" si="11"/>
        <v>780.85699999999997</v>
      </c>
      <c r="N18" s="110">
        <f t="shared" si="11"/>
        <v>479.69400000000002</v>
      </c>
      <c r="O18" s="110">
        <f t="shared" si="11"/>
        <v>528.66399999999999</v>
      </c>
      <c r="P18" s="110">
        <f t="shared" si="11"/>
        <v>861.41899999999998</v>
      </c>
      <c r="Q18" s="110">
        <f t="shared" si="11"/>
        <v>604.97199999999998</v>
      </c>
      <c r="R18" s="110">
        <f t="shared" si="11"/>
        <v>645.23099999999999</v>
      </c>
      <c r="S18" s="110">
        <f t="shared" si="11"/>
        <v>942.745</v>
      </c>
      <c r="T18" s="110">
        <f t="shared" si="11"/>
        <v>479.69400000000002</v>
      </c>
      <c r="U18" s="110">
        <f t="shared" si="11"/>
        <v>589.37300000000005</v>
      </c>
      <c r="V18" s="110">
        <f t="shared" si="11"/>
        <v>929.31899999999996</v>
      </c>
      <c r="W18" s="110">
        <f t="shared" si="11"/>
        <v>977.81</v>
      </c>
      <c r="X18" s="110">
        <f t="shared" si="11"/>
        <v>577.33100000000002</v>
      </c>
      <c r="Y18" s="110">
        <f t="shared" si="11"/>
        <v>479.22399999999999</v>
      </c>
      <c r="Z18" s="110">
        <f t="shared" si="11"/>
        <v>627.24300000000005</v>
      </c>
      <c r="AA18" s="110">
        <f t="shared" si="11"/>
        <v>701.09</v>
      </c>
      <c r="AB18" s="110">
        <f t="shared" si="11"/>
        <v>706.55600000000004</v>
      </c>
      <c r="AC18" s="110">
        <f t="shared" si="11"/>
        <v>0</v>
      </c>
      <c r="AD18" s="110">
        <f t="shared" si="11"/>
        <v>598.46199999999999</v>
      </c>
      <c r="AE18" s="110">
        <f t="shared" si="11"/>
        <v>0</v>
      </c>
      <c r="AF18" s="110">
        <f t="shared" si="11"/>
        <v>502.17099999999999</v>
      </c>
      <c r="AG18" s="110">
        <f t="shared" si="11"/>
        <v>0</v>
      </c>
      <c r="AH18" s="180"/>
      <c r="AI18" s="105"/>
    </row>
    <row r="19" spans="1:35" s="33" customFormat="1" ht="40.5" customHeight="1" x14ac:dyDescent="0.25">
      <c r="A19" s="612"/>
      <c r="B19" s="663"/>
      <c r="C19" s="112" t="s">
        <v>21</v>
      </c>
      <c r="D19" s="113">
        <f>SUM(J19,L19,N19,P19,R19,T19,V19,X19,Z19,AB19,AD19,AF19)</f>
        <v>8253.6</v>
      </c>
      <c r="E19" s="113">
        <f>J19+L19+N19+P19+R19+T19+V19+X19+Z19</f>
        <v>6446.4110000000001</v>
      </c>
      <c r="F19" s="113">
        <f>G19</f>
        <v>6276.4830000000002</v>
      </c>
      <c r="G19" s="113">
        <f>SUM(K19,M19,O19,Q19,S19,U19,W19,Y19,AA19,AC19,AE19,AG19)</f>
        <v>6276.4830000000002</v>
      </c>
      <c r="H19" s="113">
        <f t="shared" si="4"/>
        <v>76.045398371619655</v>
      </c>
      <c r="I19" s="113">
        <f t="shared" si="5"/>
        <v>97.363990598799859</v>
      </c>
      <c r="J19" s="114">
        <v>1137.2660000000001</v>
      </c>
      <c r="K19" s="114">
        <v>671.74800000000005</v>
      </c>
      <c r="L19" s="114">
        <v>709.21400000000006</v>
      </c>
      <c r="M19" s="114">
        <v>780.85699999999997</v>
      </c>
      <c r="N19" s="114">
        <v>479.69400000000002</v>
      </c>
      <c r="O19" s="114">
        <v>528.66399999999999</v>
      </c>
      <c r="P19" s="114">
        <v>861.41899999999998</v>
      </c>
      <c r="Q19" s="114">
        <v>604.97199999999998</v>
      </c>
      <c r="R19" s="114">
        <v>645.23099999999999</v>
      </c>
      <c r="S19" s="114">
        <v>942.745</v>
      </c>
      <c r="T19" s="114">
        <v>479.69400000000002</v>
      </c>
      <c r="U19" s="114">
        <v>589.37300000000005</v>
      </c>
      <c r="V19" s="114">
        <v>929.31899999999996</v>
      </c>
      <c r="W19" s="114">
        <v>977.81</v>
      </c>
      <c r="X19" s="114">
        <v>577.33100000000002</v>
      </c>
      <c r="Y19" s="114">
        <v>479.22399999999999</v>
      </c>
      <c r="Z19" s="114">
        <v>627.24300000000005</v>
      </c>
      <c r="AA19" s="114">
        <v>701.09</v>
      </c>
      <c r="AB19" s="114">
        <v>706.55600000000004</v>
      </c>
      <c r="AC19" s="114">
        <v>0</v>
      </c>
      <c r="AD19" s="114">
        <v>598.46199999999999</v>
      </c>
      <c r="AE19" s="114">
        <v>0</v>
      </c>
      <c r="AF19" s="114">
        <v>502.17099999999999</v>
      </c>
      <c r="AG19" s="114">
        <v>0</v>
      </c>
      <c r="AH19" s="111"/>
      <c r="AI19" s="106"/>
    </row>
  </sheetData>
  <customSheetViews>
    <customSheetView guid="{133BB3F8-8DD4-4AEF-8CD6-A5FB14681329}" scale="80" state="hidden">
      <pane xSplit="6" ySplit="7" topLeftCell="G8" activePane="bottomRight" state="frozen"/>
      <selection pane="bottomRight" activeCell="F6" sqref="F6"/>
      <pageMargins left="0.7" right="0.7" top="0.75" bottom="0.75" header="0.3" footer="0.3"/>
    </customSheetView>
    <customSheetView guid="{7C5A2A36-3D69-43D9-9018-A52C27EC78F9}" scale="80">
      <pane xSplit="6" ySplit="7" topLeftCell="K8" activePane="bottomRight" state="frozen"/>
      <selection pane="bottomRight" activeCell="AH19" sqref="AH19"/>
      <pageMargins left="0.7" right="0.7" top="0.75" bottom="0.75" header="0.3" footer="0.3"/>
    </customSheetView>
    <customSheetView guid="{2A5A11D4-90C6-4A3E-8165-7D7BD634B22F}" scale="80">
      <pane xSplit="6" ySplit="7" topLeftCell="G8" activePane="bottomRight" state="frozen"/>
      <selection pane="bottomRight" activeCell="C3" sqref="C3:S3"/>
      <pageMargins left="0.7" right="0.7" top="0.75" bottom="0.75" header="0.3" footer="0.3"/>
    </customSheetView>
    <customSheetView guid="{996EC2F0-F6EC-4E63-A83E-34865157BD8D}" scale="80">
      <pane xSplit="6" ySplit="7" topLeftCell="G8" activePane="bottomRight" state="frozen"/>
      <selection pane="bottomRight" activeCell="C3" sqref="C3:S3"/>
      <pageMargins left="0.7" right="0.7" top="0.75" bottom="0.75" header="0.3" footer="0.3"/>
    </customSheetView>
    <customSheetView guid="{AB9978E4-895D-4050-8F07-2484E22632D1}" scale="80">
      <pane xSplit="6" ySplit="7" topLeftCell="G17" activePane="bottomRight" state="frozen"/>
      <selection pane="bottomRight" activeCell="C3" sqref="C3:S3"/>
      <pageMargins left="0.7" right="0.7" top="0.75" bottom="0.75" header="0.3" footer="0.3"/>
    </customSheetView>
    <customSheetView guid="{21E1D423-7B38-4272-8354-09B4DB62C9EB}" scale="80">
      <pane xSplit="6" ySplit="7" topLeftCell="G8" activePane="bottomRight" state="frozen"/>
      <selection pane="bottomRight" activeCell="AA20" sqref="AA20"/>
      <pageMargins left="0.7" right="0.7" top="0.75" bottom="0.75" header="0.3" footer="0.3"/>
    </customSheetView>
    <customSheetView guid="{2940A182-D1A7-43C5-8D6E-965BED4371B0}" scale="80">
      <pane xSplit="6" ySplit="7" topLeftCell="K8" activePane="bottomRight" state="frozen"/>
      <selection pane="bottomRight" activeCell="AH19" sqref="AH19"/>
      <pageMargins left="0.7" right="0.7" top="0.75" bottom="0.75" header="0.3" footer="0.3"/>
    </customSheetView>
    <customSheetView guid="{A0E2FBF6-E560-4343-8BE6-217DC798135B}" scale="80">
      <pane xSplit="6" ySplit="7" topLeftCell="G8" activePane="bottomRight" state="frozen"/>
      <selection pane="bottomRight" activeCell="C3" sqref="C3:S3"/>
      <pageMargins left="0.7" right="0.7" top="0.75" bottom="0.75" header="0.3" footer="0.3"/>
    </customSheetView>
    <customSheetView guid="{BBF6B43F-E0FC-43DF-B91C-674F6AB4B556}" scale="80">
      <pane xSplit="6" ySplit="7" topLeftCell="G17" activePane="bottomRight" state="frozen"/>
      <selection pane="bottomRight" activeCell="C3" sqref="C3:S3"/>
      <pageMargins left="0.7" right="0.7" top="0.75" bottom="0.75" header="0.3" footer="0.3"/>
    </customSheetView>
    <customSheetView guid="{C68436F4-AFB3-4D1D-A7C4-56D0C677D68E}" scale="80">
      <pane xSplit="6" ySplit="7" topLeftCell="G8" activePane="bottomRight" state="frozen"/>
      <selection pane="bottomRight" activeCell="C3" sqref="C3:S3"/>
      <pageMargins left="0.7" right="0.7" top="0.75" bottom="0.75" header="0.3" footer="0.3"/>
    </customSheetView>
    <customSheetView guid="{DAEDC989-02E7-4319-8354-59410ACF3F1F}" scale="80">
      <pane xSplit="6" ySplit="7" topLeftCell="G8" activePane="bottomRight" state="frozen"/>
      <selection pane="bottomRight" activeCell="C3" sqref="C3:S3"/>
      <pageMargins left="0.7" right="0.7" top="0.75" bottom="0.75" header="0.3" footer="0.3"/>
    </customSheetView>
    <customSheetView guid="{519948E4-0B24-465F-9D9E-44BE50D1D647}" scale="80">
      <pane xSplit="6" ySplit="7" topLeftCell="G8" activePane="bottomRight" state="frozen"/>
      <selection pane="bottomRight" activeCell="C3" sqref="C3:S3"/>
      <pageMargins left="0.7" right="0.7" top="0.75" bottom="0.75" header="0.3" footer="0.3"/>
    </customSheetView>
    <customSheetView guid="{C7DC638A-7F60-46C9-A1FB-9ADEAE87F332}" scale="80">
      <pane xSplit="6" ySplit="7" topLeftCell="K8" activePane="bottomRight" state="frozen"/>
      <selection pane="bottomRight" activeCell="AH19" sqref="AH19"/>
      <pageMargins left="0.7" right="0.7" top="0.75" bottom="0.75" header="0.3" footer="0.3"/>
    </customSheetView>
    <customSheetView guid="{C01DC081-B312-4391-B775-A8CE76216D71}" scale="80">
      <pane xSplit="6" ySplit="7" topLeftCell="G17" activePane="bottomRight" state="frozen"/>
      <selection pane="bottomRight" activeCell="C3" sqref="C3:S3"/>
      <pageMargins left="0.7" right="0.7" top="0.75" bottom="0.75" header="0.3" footer="0.3"/>
    </customSheetView>
    <customSheetView guid="{562453CE-35F5-40A3-AD14-6399D1197C99}" scale="80">
      <pane xSplit="6" ySplit="7" topLeftCell="G8" activePane="bottomRight" state="frozen"/>
      <selection pane="bottomRight" activeCell="C3" sqref="C3:S3"/>
      <pageMargins left="0.7" right="0.7" top="0.75" bottom="0.75" header="0.3" footer="0.3"/>
    </customSheetView>
    <customSheetView guid="{A7640BE7-6438-4196-9A67-AF5B992A1E70}" scale="80">
      <pane xSplit="6" ySplit="7" topLeftCell="G17" activePane="bottomRight" state="frozen"/>
      <selection pane="bottomRight" activeCell="C3" sqref="C3:S3"/>
      <pageMargins left="0.7" right="0.7" top="0.75" bottom="0.75" header="0.3" footer="0.3"/>
    </customSheetView>
    <customSheetView guid="{30B635D9-57DB-47D5-8A0F-4B30DD769960}" scale="80">
      <pane xSplit="6" ySplit="7" topLeftCell="G17" activePane="bottomRight" state="frozen"/>
      <selection pane="bottomRight" activeCell="C3" sqref="C3:S3"/>
      <pageMargins left="0.7" right="0.7" top="0.75" bottom="0.75" header="0.3" footer="0.3"/>
    </customSheetView>
    <customSheetView guid="{20A05A62-CBE8-4538-BBC3-2AD9D3B8FAC0}" scale="80">
      <pane xSplit="6" ySplit="7" topLeftCell="G8" activePane="bottomRight" state="frozen"/>
      <selection pane="bottomRight" activeCell="C3" sqref="C3:S3"/>
      <pageMargins left="0.7" right="0.7" top="0.75" bottom="0.75" header="0.3" footer="0.3"/>
    </customSheetView>
    <customSheetView guid="{C282AA4E-1BB5-4296-9AC6-844C0F88E5FC}" scale="80">
      <pane xSplit="6" ySplit="7" topLeftCell="G8" activePane="bottomRight" state="frozen"/>
      <selection pane="bottomRight" activeCell="AH14" sqref="AH14"/>
      <pageMargins left="0.7" right="0.7" top="0.75" bottom="0.75" header="0.3" footer="0.3"/>
    </customSheetView>
    <customSheetView guid="{4E221C17-6DAB-4FFA-B18C-35D4D85AF6E8}" scale="80">
      <pane xSplit="6" ySplit="7" topLeftCell="T17" activePane="bottomRight" state="frozen"/>
      <selection pane="bottomRight" activeCell="C3" sqref="C3:S3"/>
      <pageMargins left="0.7" right="0.7" top="0.75" bottom="0.75" header="0.3" footer="0.3"/>
    </customSheetView>
    <customSheetView guid="{AFADB96A-0516-43C1-9F1B-0604F3CAC04A}" scale="80">
      <pane xSplit="6" ySplit="7" topLeftCell="G8" activePane="bottomRight" state="frozen"/>
      <selection pane="bottomRight" activeCell="C3" sqref="C3:S3"/>
      <pageMargins left="0.7" right="0.7" top="0.75" bottom="0.75" header="0.3" footer="0.3"/>
    </customSheetView>
    <customSheetView guid="{F528EF6A-C113-49B5-B25F-D660F898CBFB}" scale="80">
      <pane xSplit="6" ySplit="7" topLeftCell="G8" activePane="bottomRight" state="frozen"/>
      <selection pane="bottomRight" activeCell="AH14" sqref="AH14"/>
      <pageMargins left="0.7" right="0.7" top="0.75" bottom="0.75" header="0.3" footer="0.3"/>
    </customSheetView>
    <customSheetView guid="{B6B60ED6-A6CC-4DA7-A8CA-5E6DB52D5A87}" scale="80">
      <pane xSplit="6" ySplit="7" topLeftCell="G8" activePane="bottomRight" state="frozen"/>
      <selection pane="bottomRight" activeCell="C3" sqref="C3:S3"/>
      <pageMargins left="0.7" right="0.7" top="0.75" bottom="0.75" header="0.3" footer="0.3"/>
    </customSheetView>
    <customSheetView guid="{A4AF2100-C59D-4F60-9EAB-56D9103463F7}" scale="80">
      <pane xSplit="6" ySplit="7" topLeftCell="G8" activePane="bottomRight" state="frozen"/>
      <selection pane="bottomRight" activeCell="C3" sqref="C3:S3"/>
      <pageMargins left="0.7" right="0.7" top="0.75" bottom="0.75" header="0.3" footer="0.3"/>
    </customSheetView>
    <customSheetView guid="{EA46B61D-849C-4795-A4FF-F8F1740022EB}" scale="80">
      <pane xSplit="6" ySplit="7" topLeftCell="G8" activePane="bottomRight" state="frozen"/>
      <selection pane="bottomRight" activeCell="C3" sqref="C3:S3"/>
      <pageMargins left="0.7" right="0.7" top="0.75" bottom="0.75" header="0.3" footer="0.3"/>
    </customSheetView>
    <customSheetView guid="{B686A221-D885-4536-BEAC-E7F4BBC02150}" scale="80">
      <pane xSplit="6" ySplit="7" topLeftCell="G8" activePane="bottomRight" state="frozen"/>
      <selection pane="bottomRight" activeCell="C3" sqref="C3:S3"/>
      <pageMargins left="0.7" right="0.7" top="0.75" bottom="0.75" header="0.3" footer="0.3"/>
    </customSheetView>
    <customSheetView guid="{60A1F930-4BEC-460A-8E14-01E47F6DD055}" scale="80">
      <pane xSplit="6" ySplit="5" topLeftCell="G17" activePane="bottomRight" state="frozen"/>
      <selection pane="bottomRight" activeCell="C3" sqref="C3:S3"/>
      <pageMargins left="0.7" right="0.7" top="0.75" bottom="0.75" header="0.3" footer="0.3"/>
    </customSheetView>
    <customSheetView guid="{5DF2C78B-5EE4-439D-8D72-8D3A913B65F9}" scale="80">
      <pane xSplit="6" ySplit="7" topLeftCell="K8" activePane="bottomRight" state="frozen"/>
      <selection pane="bottomRight" activeCell="AH19" sqref="AH19"/>
      <pageMargins left="0.7" right="0.7" top="0.75" bottom="0.75" header="0.3" footer="0.3"/>
    </customSheetView>
  </customSheetViews>
  <mergeCells count="35">
    <mergeCell ref="B16:B17"/>
    <mergeCell ref="A16:A17"/>
    <mergeCell ref="B18:B19"/>
    <mergeCell ref="A18:A19"/>
    <mergeCell ref="B11:B12"/>
    <mergeCell ref="A11:A12"/>
    <mergeCell ref="A8:A9"/>
    <mergeCell ref="B13:AG13"/>
    <mergeCell ref="B14:B15"/>
    <mergeCell ref="A14:A15"/>
    <mergeCell ref="A4:A6"/>
    <mergeCell ref="B4:B6"/>
    <mergeCell ref="B8:B9"/>
    <mergeCell ref="B10:AG10"/>
    <mergeCell ref="T4:U5"/>
    <mergeCell ref="V4:W5"/>
    <mergeCell ref="X4:Y5"/>
    <mergeCell ref="Z4:AA5"/>
    <mergeCell ref="AB4:AC5"/>
    <mergeCell ref="AD4:AE5"/>
    <mergeCell ref="AF4:AG5"/>
    <mergeCell ref="AH4:AH6"/>
    <mergeCell ref="C2:S2"/>
    <mergeCell ref="C3:S3"/>
    <mergeCell ref="C4:C6"/>
    <mergeCell ref="D4:D5"/>
    <mergeCell ref="E4:E5"/>
    <mergeCell ref="F4:F5"/>
    <mergeCell ref="G4:G5"/>
    <mergeCell ref="H4:I5"/>
    <mergeCell ref="J4:K5"/>
    <mergeCell ref="L4:M5"/>
    <mergeCell ref="N4:O5"/>
    <mergeCell ref="P4:Q5"/>
    <mergeCell ref="R4:S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72"/>
  <sheetViews>
    <sheetView zoomScale="80" zoomScaleNormal="80" workbookViewId="0">
      <pane xSplit="6" ySplit="7" topLeftCell="G10" activePane="bottomRight" state="frozen"/>
      <selection pane="topRight" activeCell="G1" sqref="G1"/>
      <selection pane="bottomLeft" activeCell="A8" sqref="A8"/>
      <selection pane="bottomRight" activeCell="F6" sqref="F6"/>
    </sheetView>
  </sheetViews>
  <sheetFormatPr defaultColWidth="9.140625" defaultRowHeight="15" x14ac:dyDescent="0.25"/>
  <cols>
    <col min="1" max="1" width="6.5703125" style="8" customWidth="1"/>
    <col min="2" max="2" width="36.28515625" style="8" customWidth="1"/>
    <col min="3" max="3" width="15.85546875" style="9" customWidth="1"/>
    <col min="4" max="4" width="16" style="8" customWidth="1"/>
    <col min="5" max="6" width="13.140625" style="8" customWidth="1"/>
    <col min="7" max="7" width="12.7109375" style="8" customWidth="1"/>
    <col min="8" max="8" width="12.140625" style="8" customWidth="1"/>
    <col min="9" max="9" width="10.85546875" style="8" customWidth="1"/>
    <col min="10" max="10" width="12.28515625" style="8" customWidth="1"/>
    <col min="11" max="11" width="12"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3.8554687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6.28515625" style="8" customWidth="1"/>
    <col min="33" max="33" width="13"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36.75" customHeight="1" x14ac:dyDescent="0.25">
      <c r="A3" s="55"/>
      <c r="B3" s="55"/>
      <c r="C3" s="513" t="s">
        <v>109</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39">
        <v>45901</v>
      </c>
      <c r="F6" s="39">
        <v>45901</v>
      </c>
      <c r="G6" s="39">
        <v>45901</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530"/>
      <c r="B8" s="533" t="s">
        <v>23</v>
      </c>
      <c r="C8" s="69" t="s">
        <v>20</v>
      </c>
      <c r="D8" s="70">
        <f>D9+D10+D11</f>
        <v>974129.39199999999</v>
      </c>
      <c r="E8" s="70">
        <f t="shared" ref="E8:G8" si="0">E9+E10+E11</f>
        <v>561722.99700000009</v>
      </c>
      <c r="F8" s="70">
        <f t="shared" si="0"/>
        <v>480736.83159999998</v>
      </c>
      <c r="G8" s="70">
        <f t="shared" si="0"/>
        <v>480736.83159999998</v>
      </c>
      <c r="H8" s="70">
        <f>IFERROR(G8/D8*100,0)</f>
        <v>49.350408225850963</v>
      </c>
      <c r="I8" s="70">
        <f>IFERROR(G8/E8*100,0)</f>
        <v>85.582544095128071</v>
      </c>
      <c r="J8" s="71">
        <f>J9+J10+J11</f>
        <v>31464.485000000001</v>
      </c>
      <c r="K8" s="71">
        <f t="shared" ref="K8:AG8" si="1">K9+K10+K11</f>
        <v>30266.940599999998</v>
      </c>
      <c r="L8" s="71">
        <f t="shared" si="1"/>
        <v>37630.381999999998</v>
      </c>
      <c r="M8" s="71">
        <f t="shared" si="1"/>
        <v>36249.108999999997</v>
      </c>
      <c r="N8" s="71">
        <f t="shared" si="1"/>
        <v>33998.561000000002</v>
      </c>
      <c r="O8" s="71">
        <f t="shared" si="1"/>
        <v>32592.966</v>
      </c>
      <c r="P8" s="71">
        <f t="shared" si="1"/>
        <v>37793.231</v>
      </c>
      <c r="Q8" s="71">
        <f t="shared" si="1"/>
        <v>36988.434999999998</v>
      </c>
      <c r="R8" s="71">
        <f t="shared" si="1"/>
        <v>69972.17300000001</v>
      </c>
      <c r="S8" s="71">
        <f t="shared" si="1"/>
        <v>69265.872999999992</v>
      </c>
      <c r="T8" s="71">
        <f t="shared" si="1"/>
        <v>163422.84199999998</v>
      </c>
      <c r="U8" s="71">
        <f t="shared" si="1"/>
        <v>161770.573</v>
      </c>
      <c r="V8" s="71">
        <f t="shared" si="1"/>
        <v>92201.099000000002</v>
      </c>
      <c r="W8" s="71">
        <f t="shared" si="1"/>
        <v>56623.655000000006</v>
      </c>
      <c r="X8" s="71">
        <f t="shared" si="1"/>
        <v>95240.223999999987</v>
      </c>
      <c r="Y8" s="71">
        <f t="shared" si="1"/>
        <v>56979.279999999992</v>
      </c>
      <c r="Z8" s="71">
        <f t="shared" si="1"/>
        <v>109223.48</v>
      </c>
      <c r="AA8" s="71">
        <f t="shared" si="1"/>
        <v>0</v>
      </c>
      <c r="AB8" s="71">
        <f t="shared" si="1"/>
        <v>137751.62400000001</v>
      </c>
      <c r="AC8" s="71">
        <f t="shared" si="1"/>
        <v>0</v>
      </c>
      <c r="AD8" s="71">
        <f t="shared" si="1"/>
        <v>116850.565</v>
      </c>
      <c r="AE8" s="71">
        <f t="shared" si="1"/>
        <v>0</v>
      </c>
      <c r="AF8" s="71">
        <f t="shared" si="1"/>
        <v>48580.726000000002</v>
      </c>
      <c r="AG8" s="71">
        <f t="shared" si="1"/>
        <v>0</v>
      </c>
      <c r="AH8" s="72"/>
    </row>
    <row r="9" spans="1:35" s="26" customFormat="1" ht="62.25" customHeight="1" x14ac:dyDescent="0.25">
      <c r="A9" s="531"/>
      <c r="B9" s="534"/>
      <c r="C9" s="73" t="s">
        <v>22</v>
      </c>
      <c r="D9" s="74">
        <f>J9+L9+N9+P9+R9+T9+V9+X9+Z9+AB9+AD9+AF9</f>
        <v>188848.4</v>
      </c>
      <c r="E9" s="74">
        <f>J9+L9+N9+P9+R9+T9+V9+X9</f>
        <v>40493.79</v>
      </c>
      <c r="F9" s="74">
        <f>G9</f>
        <v>0</v>
      </c>
      <c r="G9" s="74">
        <f>K9+M9+O9+Q9+S9+U9+W9+Y9+AA9+AC9+AE9+AG9</f>
        <v>0</v>
      </c>
      <c r="H9" s="74">
        <f t="shared" ref="H9" si="2">IFERROR(G9/D9*100,0)</f>
        <v>0</v>
      </c>
      <c r="I9" s="74">
        <f t="shared" ref="I9" si="3">IFERROR(G9/E9*100,0)</f>
        <v>0</v>
      </c>
      <c r="J9" s="74">
        <f>J20+J23</f>
        <v>0</v>
      </c>
      <c r="K9" s="74">
        <f t="shared" ref="K9:AG9" si="4">K20+K23</f>
        <v>0</v>
      </c>
      <c r="L9" s="74">
        <f t="shared" si="4"/>
        <v>0</v>
      </c>
      <c r="M9" s="74">
        <f t="shared" si="4"/>
        <v>0</v>
      </c>
      <c r="N9" s="74">
        <f t="shared" si="4"/>
        <v>0</v>
      </c>
      <c r="O9" s="74">
        <f t="shared" si="4"/>
        <v>0</v>
      </c>
      <c r="P9" s="74">
        <f t="shared" si="4"/>
        <v>0</v>
      </c>
      <c r="Q9" s="74">
        <f t="shared" si="4"/>
        <v>0</v>
      </c>
      <c r="R9" s="74">
        <f t="shared" si="4"/>
        <v>0</v>
      </c>
      <c r="S9" s="74">
        <f t="shared" si="4"/>
        <v>0</v>
      </c>
      <c r="T9" s="74">
        <f t="shared" si="4"/>
        <v>0</v>
      </c>
      <c r="U9" s="74">
        <f t="shared" si="4"/>
        <v>0</v>
      </c>
      <c r="V9" s="74">
        <f t="shared" si="4"/>
        <v>24296.31</v>
      </c>
      <c r="W9" s="74">
        <f t="shared" si="4"/>
        <v>0</v>
      </c>
      <c r="X9" s="74">
        <f t="shared" si="4"/>
        <v>16197.48</v>
      </c>
      <c r="Y9" s="74">
        <f t="shared" si="4"/>
        <v>0</v>
      </c>
      <c r="Z9" s="74">
        <f t="shared" si="4"/>
        <v>16197.48</v>
      </c>
      <c r="AA9" s="74">
        <f t="shared" si="4"/>
        <v>0</v>
      </c>
      <c r="AB9" s="74">
        <f t="shared" si="4"/>
        <v>59268.45</v>
      </c>
      <c r="AC9" s="74">
        <f t="shared" si="4"/>
        <v>0</v>
      </c>
      <c r="AD9" s="74">
        <f t="shared" si="4"/>
        <v>48592.53</v>
      </c>
      <c r="AE9" s="74">
        <f t="shared" si="4"/>
        <v>0</v>
      </c>
      <c r="AF9" s="74">
        <f t="shared" si="4"/>
        <v>24296.15</v>
      </c>
      <c r="AG9" s="74">
        <f t="shared" si="4"/>
        <v>0</v>
      </c>
      <c r="AH9" s="75"/>
    </row>
    <row r="10" spans="1:35" s="26" customFormat="1" ht="57.75" customHeight="1" x14ac:dyDescent="0.25">
      <c r="A10" s="531"/>
      <c r="B10" s="534"/>
      <c r="C10" s="73" t="s">
        <v>21</v>
      </c>
      <c r="D10" s="74">
        <f t="shared" ref="D10:D11" si="5">J10+L10+N10+P10+R10+T10+V10+X10+Z10+AB10+AD10+AF10</f>
        <v>768757.99199999997</v>
      </c>
      <c r="E10" s="74">
        <f t="shared" ref="E10:E11" si="6">J10+L10+N10+P10+R10+T10+V10+X10</f>
        <v>509591.68900000001</v>
      </c>
      <c r="F10" s="74">
        <f t="shared" ref="F10:F11" si="7">G10</f>
        <v>476103.00259999995</v>
      </c>
      <c r="G10" s="74">
        <f t="shared" ref="G10:G11" si="8">K10+M10+O10+Q10+S10+U10+W10+Y10+AA10+AC10+AE10+AG10</f>
        <v>476103.00259999995</v>
      </c>
      <c r="H10" s="74">
        <f>IFERROR(G10/D10*100,0)</f>
        <v>61.931454053748546</v>
      </c>
      <c r="I10" s="74">
        <f>IFERROR(G10/E10*100,0)</f>
        <v>93.428329558176898</v>
      </c>
      <c r="J10" s="74">
        <f>J16+J21+J24+J44</f>
        <v>30262.645</v>
      </c>
      <c r="K10" s="74">
        <f t="shared" ref="K10:AG10" si="9">K16+K21+K24+K44</f>
        <v>30102.353599999999</v>
      </c>
      <c r="L10" s="74">
        <f t="shared" si="9"/>
        <v>36465.901999999995</v>
      </c>
      <c r="M10" s="74">
        <f t="shared" si="9"/>
        <v>35958.21</v>
      </c>
      <c r="N10" s="74">
        <f t="shared" si="9"/>
        <v>32485.601000000002</v>
      </c>
      <c r="O10" s="74">
        <f t="shared" si="9"/>
        <v>32333.175999999999</v>
      </c>
      <c r="P10" s="74">
        <f t="shared" si="9"/>
        <v>36405.955000000002</v>
      </c>
      <c r="Q10" s="74">
        <f t="shared" si="9"/>
        <v>36259.617999999995</v>
      </c>
      <c r="R10" s="74">
        <f t="shared" si="9"/>
        <v>68715.425000000003</v>
      </c>
      <c r="S10" s="74">
        <f t="shared" si="9"/>
        <v>68692.532999999996</v>
      </c>
      <c r="T10" s="74">
        <f t="shared" si="9"/>
        <v>161900.46899999998</v>
      </c>
      <c r="U10" s="74">
        <f t="shared" si="9"/>
        <v>161070.70699999999</v>
      </c>
      <c r="V10" s="74">
        <f t="shared" si="9"/>
        <v>66242.904999999999</v>
      </c>
      <c r="W10" s="74">
        <f t="shared" si="9"/>
        <v>55330.382000000005</v>
      </c>
      <c r="X10" s="74">
        <f t="shared" si="9"/>
        <v>77112.786999999997</v>
      </c>
      <c r="Y10" s="74">
        <f t="shared" si="9"/>
        <v>56356.022999999994</v>
      </c>
      <c r="Z10" s="74">
        <f t="shared" si="9"/>
        <v>91851.123999999996</v>
      </c>
      <c r="AA10" s="74">
        <f t="shared" si="9"/>
        <v>0</v>
      </c>
      <c r="AB10" s="74">
        <f t="shared" si="9"/>
        <v>77203.680000000008</v>
      </c>
      <c r="AC10" s="74">
        <f t="shared" si="9"/>
        <v>0</v>
      </c>
      <c r="AD10" s="74">
        <f t="shared" si="9"/>
        <v>67001.497000000003</v>
      </c>
      <c r="AE10" s="74">
        <f t="shared" si="9"/>
        <v>0</v>
      </c>
      <c r="AF10" s="74">
        <f t="shared" si="9"/>
        <v>23110.002000000004</v>
      </c>
      <c r="AG10" s="74">
        <f t="shared" si="9"/>
        <v>0</v>
      </c>
      <c r="AH10" s="75"/>
    </row>
    <row r="11" spans="1:35" s="26" customFormat="1" ht="41.25" customHeight="1" x14ac:dyDescent="0.25">
      <c r="A11" s="532"/>
      <c r="B11" s="535"/>
      <c r="C11" s="65" t="s">
        <v>40</v>
      </c>
      <c r="D11" s="74">
        <f t="shared" si="5"/>
        <v>16523</v>
      </c>
      <c r="E11" s="74">
        <f t="shared" si="6"/>
        <v>11637.518</v>
      </c>
      <c r="F11" s="74">
        <f t="shared" si="7"/>
        <v>4633.8289999999997</v>
      </c>
      <c r="G11" s="74">
        <f t="shared" si="8"/>
        <v>4633.8289999999997</v>
      </c>
      <c r="H11" s="74">
        <f>IFERROR(G11/D11*100,0)</f>
        <v>28.044719481934273</v>
      </c>
      <c r="I11" s="74">
        <f>IFERROR(G11/E11*100,0)</f>
        <v>39.818017896943317</v>
      </c>
      <c r="J11" s="74">
        <f>J25</f>
        <v>1201.8399999999999</v>
      </c>
      <c r="K11" s="74">
        <f t="shared" ref="K11:AG11" si="10">K25</f>
        <v>164.58699999999999</v>
      </c>
      <c r="L11" s="74">
        <f t="shared" si="10"/>
        <v>1164.48</v>
      </c>
      <c r="M11" s="74">
        <f t="shared" si="10"/>
        <v>290.899</v>
      </c>
      <c r="N11" s="74">
        <f t="shared" si="10"/>
        <v>1512.96</v>
      </c>
      <c r="O11" s="74">
        <f t="shared" si="10"/>
        <v>259.79000000000002</v>
      </c>
      <c r="P11" s="74">
        <f t="shared" si="10"/>
        <v>1387.2760000000001</v>
      </c>
      <c r="Q11" s="74">
        <f t="shared" si="10"/>
        <v>728.81700000000001</v>
      </c>
      <c r="R11" s="74">
        <f t="shared" si="10"/>
        <v>1256.748</v>
      </c>
      <c r="S11" s="74">
        <f t="shared" si="10"/>
        <v>573.34</v>
      </c>
      <c r="T11" s="74">
        <f t="shared" si="10"/>
        <v>1522.373</v>
      </c>
      <c r="U11" s="74">
        <f t="shared" si="10"/>
        <v>699.86599999999999</v>
      </c>
      <c r="V11" s="74">
        <f t="shared" si="10"/>
        <v>1661.884</v>
      </c>
      <c r="W11" s="74">
        <f t="shared" si="10"/>
        <v>1293.2729999999999</v>
      </c>
      <c r="X11" s="74">
        <f t="shared" si="10"/>
        <v>1929.9570000000001</v>
      </c>
      <c r="Y11" s="74">
        <f t="shared" si="10"/>
        <v>623.25699999999995</v>
      </c>
      <c r="Z11" s="74">
        <f t="shared" si="10"/>
        <v>1174.876</v>
      </c>
      <c r="AA11" s="74">
        <f t="shared" si="10"/>
        <v>0</v>
      </c>
      <c r="AB11" s="74">
        <f t="shared" si="10"/>
        <v>1279.4939999999999</v>
      </c>
      <c r="AC11" s="74">
        <f t="shared" si="10"/>
        <v>0</v>
      </c>
      <c r="AD11" s="74">
        <f t="shared" si="10"/>
        <v>1256.538</v>
      </c>
      <c r="AE11" s="74">
        <f t="shared" si="10"/>
        <v>0</v>
      </c>
      <c r="AF11" s="74">
        <f t="shared" si="10"/>
        <v>1174.5740000000001</v>
      </c>
      <c r="AG11" s="74">
        <f t="shared" si="10"/>
        <v>0</v>
      </c>
      <c r="AH11" s="75"/>
    </row>
    <row r="12" spans="1:35" s="18" customFormat="1" ht="18.75" customHeight="1" x14ac:dyDescent="0.25">
      <c r="A12" s="68"/>
      <c r="B12" s="536" t="s">
        <v>84</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8"/>
      <c r="AH12" s="46"/>
    </row>
    <row r="13" spans="1:35" s="21" customFormat="1" ht="109.5" customHeight="1" x14ac:dyDescent="0.25">
      <c r="A13" s="539" t="s">
        <v>37</v>
      </c>
      <c r="B13" s="533" t="s">
        <v>89</v>
      </c>
      <c r="C13" s="69" t="s">
        <v>20</v>
      </c>
      <c r="D13" s="70">
        <f>D15+D16+D14</f>
        <v>61505.597000000002</v>
      </c>
      <c r="E13" s="70">
        <f t="shared" ref="E13:AG13" si="11">E15+E16+E14</f>
        <v>39671.116999999998</v>
      </c>
      <c r="F13" s="70">
        <f t="shared" si="11"/>
        <v>37946.935600000004</v>
      </c>
      <c r="G13" s="70">
        <f t="shared" si="11"/>
        <v>37946.935600000004</v>
      </c>
      <c r="H13" s="70">
        <f t="shared" ref="H13:H44" si="12">IFERROR(G13/D13*100,0)</f>
        <v>61.696719405877822</v>
      </c>
      <c r="I13" s="70">
        <f t="shared" ref="I13:I44" si="13">IFERROR(G13/E13*100,0)</f>
        <v>95.653811814777001</v>
      </c>
      <c r="J13" s="70">
        <f t="shared" si="11"/>
        <v>3444.34</v>
      </c>
      <c r="K13" s="70">
        <f t="shared" si="11"/>
        <v>3322.3456000000001</v>
      </c>
      <c r="L13" s="70">
        <f t="shared" si="11"/>
        <v>5022.3339999999998</v>
      </c>
      <c r="M13" s="70">
        <f t="shared" si="11"/>
        <v>4962.57</v>
      </c>
      <c r="N13" s="70">
        <f t="shared" si="11"/>
        <v>4615.8639999999996</v>
      </c>
      <c r="O13" s="70">
        <f t="shared" si="11"/>
        <v>4556.7049999999999</v>
      </c>
      <c r="P13" s="70">
        <f t="shared" si="11"/>
        <v>5074.71</v>
      </c>
      <c r="Q13" s="70">
        <f t="shared" si="11"/>
        <v>5077.518</v>
      </c>
      <c r="R13" s="70">
        <f t="shared" si="11"/>
        <v>4939.22</v>
      </c>
      <c r="S13" s="70">
        <f t="shared" si="11"/>
        <v>4913.7179999999998</v>
      </c>
      <c r="T13" s="70">
        <f t="shared" si="11"/>
        <v>6485.4279999999999</v>
      </c>
      <c r="U13" s="70">
        <f t="shared" si="11"/>
        <v>5077.4740000000002</v>
      </c>
      <c r="V13" s="70">
        <f t="shared" si="11"/>
        <v>4968.13</v>
      </c>
      <c r="W13" s="70">
        <f t="shared" si="11"/>
        <v>4938.93</v>
      </c>
      <c r="X13" s="70">
        <f t="shared" si="11"/>
        <v>5121.0910000000003</v>
      </c>
      <c r="Y13" s="70">
        <f t="shared" si="11"/>
        <v>5097.6750000000002</v>
      </c>
      <c r="Z13" s="70">
        <f t="shared" si="11"/>
        <v>5099.9530000000004</v>
      </c>
      <c r="AA13" s="70">
        <f t="shared" si="11"/>
        <v>0</v>
      </c>
      <c r="AB13" s="70">
        <f t="shared" si="11"/>
        <v>6774.1180000000004</v>
      </c>
      <c r="AC13" s="70">
        <f t="shared" si="11"/>
        <v>0</v>
      </c>
      <c r="AD13" s="70">
        <f t="shared" si="11"/>
        <v>5100.8959999999997</v>
      </c>
      <c r="AE13" s="70">
        <f t="shared" si="11"/>
        <v>0</v>
      </c>
      <c r="AF13" s="70">
        <f t="shared" si="11"/>
        <v>4859.5129999999999</v>
      </c>
      <c r="AG13" s="70">
        <f t="shared" si="11"/>
        <v>0</v>
      </c>
      <c r="AH13" s="60"/>
      <c r="AI13" s="23"/>
    </row>
    <row r="14" spans="1:35" s="21" customFormat="1" ht="42.75" hidden="1" customHeight="1" x14ac:dyDescent="0.25">
      <c r="A14" s="540"/>
      <c r="B14" s="534"/>
      <c r="C14" s="428" t="s">
        <v>52</v>
      </c>
      <c r="D14" s="74">
        <f>SUM(J14,L14,N14,P14,R14,T14,V14,X14,Z14,AB14,AD14,AF14)</f>
        <v>0</v>
      </c>
      <c r="E14" s="74">
        <f>J14</f>
        <v>0</v>
      </c>
      <c r="F14" s="74">
        <f>G14</f>
        <v>0</v>
      </c>
      <c r="G14" s="74">
        <f>SUM(K14,M14,O14,Q14,S14,U14,W14,Y14,AA14,AC14,AE14,AG14)</f>
        <v>0</v>
      </c>
      <c r="H14" s="74">
        <f t="shared" si="12"/>
        <v>0</v>
      </c>
      <c r="I14" s="74">
        <f t="shared" si="13"/>
        <v>0</v>
      </c>
      <c r="J14" s="74">
        <v>0</v>
      </c>
      <c r="K14" s="74">
        <v>0</v>
      </c>
      <c r="L14" s="74">
        <v>0</v>
      </c>
      <c r="M14" s="74">
        <v>0</v>
      </c>
      <c r="N14" s="74">
        <v>0</v>
      </c>
      <c r="O14" s="74">
        <v>0</v>
      </c>
      <c r="P14" s="74">
        <v>0</v>
      </c>
      <c r="Q14" s="74">
        <v>0</v>
      </c>
      <c r="R14" s="74">
        <v>0</v>
      </c>
      <c r="S14" s="74">
        <v>0</v>
      </c>
      <c r="T14" s="74">
        <v>0</v>
      </c>
      <c r="U14" s="74">
        <v>0</v>
      </c>
      <c r="V14" s="74">
        <v>0</v>
      </c>
      <c r="W14" s="74">
        <v>0</v>
      </c>
      <c r="X14" s="74">
        <v>0</v>
      </c>
      <c r="Y14" s="74">
        <v>0</v>
      </c>
      <c r="Z14" s="74">
        <v>0</v>
      </c>
      <c r="AA14" s="74">
        <v>0</v>
      </c>
      <c r="AB14" s="74">
        <v>0</v>
      </c>
      <c r="AC14" s="74">
        <v>0</v>
      </c>
      <c r="AD14" s="74">
        <v>0</v>
      </c>
      <c r="AE14" s="74">
        <v>0</v>
      </c>
      <c r="AF14" s="74">
        <v>0</v>
      </c>
      <c r="AG14" s="74">
        <v>0</v>
      </c>
      <c r="AH14" s="60"/>
      <c r="AI14" s="23"/>
    </row>
    <row r="15" spans="1:35" s="21" customFormat="1" ht="57" hidden="1" customHeight="1" x14ac:dyDescent="0.25">
      <c r="A15" s="540"/>
      <c r="B15" s="534"/>
      <c r="C15" s="428" t="s">
        <v>22</v>
      </c>
      <c r="D15" s="74">
        <f>SUM(J15,L15,N15,P15,R15,T15,V15,X15,Z15,AB15,AD15,AF15)</f>
        <v>0</v>
      </c>
      <c r="E15" s="74">
        <f>J15</f>
        <v>0</v>
      </c>
      <c r="F15" s="74">
        <f>G15</f>
        <v>0</v>
      </c>
      <c r="G15" s="74">
        <f>SUM(K15,M15,O15,Q15,S15,U15,W15,Y15,AA15,AC15,AE15,AG15)</f>
        <v>0</v>
      </c>
      <c r="H15" s="74">
        <f t="shared" si="12"/>
        <v>0</v>
      </c>
      <c r="I15" s="74">
        <f t="shared" si="13"/>
        <v>0</v>
      </c>
      <c r="J15" s="67">
        <v>0</v>
      </c>
      <c r="K15" s="67">
        <v>0</v>
      </c>
      <c r="L15" s="67">
        <v>0</v>
      </c>
      <c r="M15" s="67">
        <v>0</v>
      </c>
      <c r="N15" s="67">
        <v>0</v>
      </c>
      <c r="O15" s="67">
        <v>0</v>
      </c>
      <c r="P15" s="67">
        <v>0</v>
      </c>
      <c r="Q15" s="67">
        <v>0</v>
      </c>
      <c r="R15" s="67">
        <v>0</v>
      </c>
      <c r="S15" s="67">
        <v>0</v>
      </c>
      <c r="T15" s="67">
        <v>0</v>
      </c>
      <c r="U15" s="67">
        <v>0</v>
      </c>
      <c r="V15" s="67">
        <v>0</v>
      </c>
      <c r="W15" s="67">
        <v>0</v>
      </c>
      <c r="X15" s="67">
        <v>0</v>
      </c>
      <c r="Y15" s="67">
        <v>0</v>
      </c>
      <c r="Z15" s="67">
        <v>0</v>
      </c>
      <c r="AA15" s="67">
        <v>0</v>
      </c>
      <c r="AB15" s="67">
        <v>0</v>
      </c>
      <c r="AC15" s="67">
        <v>0</v>
      </c>
      <c r="AD15" s="67">
        <v>0</v>
      </c>
      <c r="AE15" s="67">
        <v>0</v>
      </c>
      <c r="AF15" s="67">
        <v>0</v>
      </c>
      <c r="AG15" s="67">
        <v>0</v>
      </c>
      <c r="AH15" s="60"/>
      <c r="AI15" s="23"/>
    </row>
    <row r="16" spans="1:35" s="22" customFormat="1" ht="108" customHeight="1" x14ac:dyDescent="0.25">
      <c r="A16" s="541"/>
      <c r="B16" s="535"/>
      <c r="C16" s="428" t="s">
        <v>21</v>
      </c>
      <c r="D16" s="74">
        <f>SUM(J16,L16,N16,P16,R16,T16,V16,X16,Z16,AB16,AD16,AF16)</f>
        <v>61505.597000000002</v>
      </c>
      <c r="E16" s="74">
        <f>J16+L16+N16+P16+R16+T16+V16+X16</f>
        <v>39671.116999999998</v>
      </c>
      <c r="F16" s="74">
        <f>G16</f>
        <v>37946.935600000004</v>
      </c>
      <c r="G16" s="74">
        <f>SUM(K16,M16,O16,Q16,S16,U16,W16,Y16,AA16,AC16,AE16,AG16)</f>
        <v>37946.935600000004</v>
      </c>
      <c r="H16" s="74">
        <f t="shared" si="12"/>
        <v>61.696719405877822</v>
      </c>
      <c r="I16" s="74">
        <f t="shared" si="13"/>
        <v>95.653811814777001</v>
      </c>
      <c r="J16" s="67">
        <v>3444.34</v>
      </c>
      <c r="K16" s="67">
        <v>3322.3456000000001</v>
      </c>
      <c r="L16" s="67">
        <v>5022.3339999999998</v>
      </c>
      <c r="M16" s="67">
        <v>4962.57</v>
      </c>
      <c r="N16" s="67">
        <v>4615.8639999999996</v>
      </c>
      <c r="O16" s="67">
        <v>4556.7049999999999</v>
      </c>
      <c r="P16" s="67">
        <v>5074.71</v>
      </c>
      <c r="Q16" s="67">
        <v>5077.518</v>
      </c>
      <c r="R16" s="67">
        <v>4939.22</v>
      </c>
      <c r="S16" s="67">
        <v>4913.7179999999998</v>
      </c>
      <c r="T16" s="67">
        <v>6485.4279999999999</v>
      </c>
      <c r="U16" s="67">
        <v>5077.4740000000002</v>
      </c>
      <c r="V16" s="67">
        <v>4968.13</v>
      </c>
      <c r="W16" s="67">
        <v>4938.93</v>
      </c>
      <c r="X16" s="67">
        <v>5121.0910000000003</v>
      </c>
      <c r="Y16" s="67">
        <v>5097.6750000000002</v>
      </c>
      <c r="Z16" s="67">
        <v>5099.9530000000004</v>
      </c>
      <c r="AA16" s="67">
        <v>0</v>
      </c>
      <c r="AB16" s="67">
        <v>6774.1180000000004</v>
      </c>
      <c r="AC16" s="67">
        <v>0</v>
      </c>
      <c r="AD16" s="67">
        <v>5100.8959999999997</v>
      </c>
      <c r="AE16" s="67">
        <v>0</v>
      </c>
      <c r="AF16" s="67">
        <v>4859.5129999999999</v>
      </c>
      <c r="AG16" s="67">
        <v>0</v>
      </c>
      <c r="AH16" s="64"/>
      <c r="AI16" s="20"/>
    </row>
    <row r="17" spans="1:35" s="22" customFormat="1" ht="23.25" customHeight="1" x14ac:dyDescent="0.25">
      <c r="A17" s="115"/>
      <c r="B17" s="596" t="s">
        <v>85</v>
      </c>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597"/>
      <c r="AG17" s="598"/>
      <c r="AH17" s="46"/>
      <c r="AI17" s="20"/>
    </row>
    <row r="18" spans="1:35" s="21" customFormat="1" ht="31.5" customHeight="1" x14ac:dyDescent="0.25">
      <c r="A18" s="539" t="s">
        <v>86</v>
      </c>
      <c r="B18" s="533" t="s">
        <v>90</v>
      </c>
      <c r="C18" s="69" t="s">
        <v>20</v>
      </c>
      <c r="D18" s="70">
        <f>D20+D21+D19</f>
        <v>188514.9</v>
      </c>
      <c r="E18" s="70">
        <f t="shared" ref="E18:G18" si="14">E20+E21+E19</f>
        <v>45593.1</v>
      </c>
      <c r="F18" s="70">
        <f t="shared" si="14"/>
        <v>600</v>
      </c>
      <c r="G18" s="70">
        <f t="shared" si="14"/>
        <v>600</v>
      </c>
      <c r="H18" s="70">
        <f t="shared" ref="H18:H21" si="15">IFERROR(G18/D18*100,0)</f>
        <v>0.31827722901478872</v>
      </c>
      <c r="I18" s="70">
        <f t="shared" ref="I18:I21" si="16">IFERROR(G18/E18*100,0)</f>
        <v>1.3159886035386934</v>
      </c>
      <c r="J18" s="70">
        <f t="shared" ref="J18:AG18" si="17">J20+J21+J19</f>
        <v>0</v>
      </c>
      <c r="K18" s="70">
        <f t="shared" si="17"/>
        <v>0</v>
      </c>
      <c r="L18" s="70">
        <f t="shared" si="17"/>
        <v>0</v>
      </c>
      <c r="M18" s="70">
        <f t="shared" si="17"/>
        <v>0</v>
      </c>
      <c r="N18" s="70">
        <f t="shared" si="17"/>
        <v>0</v>
      </c>
      <c r="O18" s="70">
        <f t="shared" si="17"/>
        <v>0</v>
      </c>
      <c r="P18" s="70">
        <f t="shared" si="17"/>
        <v>0</v>
      </c>
      <c r="Q18" s="70">
        <f t="shared" si="17"/>
        <v>0</v>
      </c>
      <c r="R18" s="70">
        <f t="shared" si="17"/>
        <v>0</v>
      </c>
      <c r="S18" s="70">
        <f t="shared" si="17"/>
        <v>0</v>
      </c>
      <c r="T18" s="70">
        <f t="shared" si="17"/>
        <v>0</v>
      </c>
      <c r="U18" s="70">
        <f t="shared" si="17"/>
        <v>600</v>
      </c>
      <c r="V18" s="70">
        <f t="shared" si="17"/>
        <v>27595.9</v>
      </c>
      <c r="W18" s="70">
        <f t="shared" si="17"/>
        <v>0</v>
      </c>
      <c r="X18" s="70">
        <f t="shared" si="17"/>
        <v>17997.2</v>
      </c>
      <c r="Y18" s="70">
        <f t="shared" si="17"/>
        <v>0</v>
      </c>
      <c r="Z18" s="70">
        <f t="shared" si="17"/>
        <v>17997.2</v>
      </c>
      <c r="AA18" s="70">
        <f t="shared" si="17"/>
        <v>0</v>
      </c>
      <c r="AB18" s="70">
        <f t="shared" si="17"/>
        <v>37504.9</v>
      </c>
      <c r="AC18" s="70">
        <f t="shared" si="17"/>
        <v>0</v>
      </c>
      <c r="AD18" s="70">
        <f t="shared" si="17"/>
        <v>53991.7</v>
      </c>
      <c r="AE18" s="70">
        <f t="shared" si="17"/>
        <v>0</v>
      </c>
      <c r="AF18" s="70">
        <f t="shared" si="17"/>
        <v>33428</v>
      </c>
      <c r="AG18" s="70">
        <f t="shared" si="17"/>
        <v>0</v>
      </c>
      <c r="AH18" s="60"/>
      <c r="AI18" s="23"/>
    </row>
    <row r="19" spans="1:35" s="21" customFormat="1" ht="42.75" hidden="1" customHeight="1" x14ac:dyDescent="0.25">
      <c r="A19" s="540"/>
      <c r="B19" s="534"/>
      <c r="C19" s="428" t="s">
        <v>52</v>
      </c>
      <c r="D19" s="74">
        <f>SUM(J19,L19,N19,P19,R19,T19,V19,X19,Z19,AB19,AD19,AF19)</f>
        <v>0</v>
      </c>
      <c r="E19" s="74">
        <f>J19</f>
        <v>0</v>
      </c>
      <c r="F19" s="74">
        <f>G19</f>
        <v>0</v>
      </c>
      <c r="G19" s="74">
        <f>SUM(K19,M19,O19,Q19,S19,U19,W19,Y19,AA19,AC19,AE19,AG19)</f>
        <v>0</v>
      </c>
      <c r="H19" s="74">
        <f t="shared" si="15"/>
        <v>0</v>
      </c>
      <c r="I19" s="74">
        <f t="shared" si="16"/>
        <v>0</v>
      </c>
      <c r="J19" s="74">
        <v>0</v>
      </c>
      <c r="K19" s="74">
        <v>0</v>
      </c>
      <c r="L19" s="74">
        <v>0</v>
      </c>
      <c r="M19" s="74">
        <v>0</v>
      </c>
      <c r="N19" s="74">
        <v>0</v>
      </c>
      <c r="O19" s="74">
        <v>0</v>
      </c>
      <c r="P19" s="74">
        <v>0</v>
      </c>
      <c r="Q19" s="74">
        <v>0</v>
      </c>
      <c r="R19" s="74">
        <v>0</v>
      </c>
      <c r="S19" s="74">
        <v>0</v>
      </c>
      <c r="T19" s="74">
        <v>0</v>
      </c>
      <c r="U19" s="74">
        <v>0</v>
      </c>
      <c r="V19" s="74">
        <v>0</v>
      </c>
      <c r="W19" s="74">
        <v>0</v>
      </c>
      <c r="X19" s="74">
        <v>0</v>
      </c>
      <c r="Y19" s="74">
        <v>0</v>
      </c>
      <c r="Z19" s="74">
        <v>0</v>
      </c>
      <c r="AA19" s="74">
        <v>0</v>
      </c>
      <c r="AB19" s="74">
        <v>0</v>
      </c>
      <c r="AC19" s="74">
        <v>0</v>
      </c>
      <c r="AD19" s="74">
        <v>0</v>
      </c>
      <c r="AE19" s="74">
        <v>0</v>
      </c>
      <c r="AF19" s="74">
        <v>0</v>
      </c>
      <c r="AG19" s="74">
        <v>0</v>
      </c>
      <c r="AH19" s="60"/>
      <c r="AI19" s="23"/>
    </row>
    <row r="20" spans="1:35" s="21" customFormat="1" ht="69" customHeight="1" x14ac:dyDescent="0.25">
      <c r="A20" s="540"/>
      <c r="B20" s="534"/>
      <c r="C20" s="428" t="s">
        <v>22</v>
      </c>
      <c r="D20" s="74">
        <f>SUM(J20,L20,N20,P20,R20,T20,V20,X20,Z20,AB20,AD20,AF20)</f>
        <v>161975</v>
      </c>
      <c r="E20" s="74">
        <f>J20+L20+N20+P20+R20+T20+V20+X20</f>
        <v>40493.79</v>
      </c>
      <c r="F20" s="74">
        <f>G20</f>
        <v>0</v>
      </c>
      <c r="G20" s="74">
        <f>SUM(K20,M20,O20,Q20,S20,U20,W20,Y20,AA20,AC20,AE20,AG20)</f>
        <v>0</v>
      </c>
      <c r="H20" s="74">
        <f t="shared" si="15"/>
        <v>0</v>
      </c>
      <c r="I20" s="74">
        <f t="shared" si="16"/>
        <v>0</v>
      </c>
      <c r="J20" s="67">
        <v>0</v>
      </c>
      <c r="K20" s="67">
        <v>0</v>
      </c>
      <c r="L20" s="67">
        <v>0</v>
      </c>
      <c r="M20" s="67">
        <v>0</v>
      </c>
      <c r="N20" s="67">
        <v>0</v>
      </c>
      <c r="O20" s="67">
        <v>0</v>
      </c>
      <c r="P20" s="67">
        <v>0</v>
      </c>
      <c r="Q20" s="67">
        <v>0</v>
      </c>
      <c r="R20" s="67">
        <v>0</v>
      </c>
      <c r="S20" s="67">
        <v>0</v>
      </c>
      <c r="T20" s="67">
        <v>0</v>
      </c>
      <c r="U20" s="67">
        <v>0</v>
      </c>
      <c r="V20" s="67">
        <v>24296.31</v>
      </c>
      <c r="W20" s="67">
        <v>0</v>
      </c>
      <c r="X20" s="67">
        <v>16197.48</v>
      </c>
      <c r="Y20" s="67">
        <v>0</v>
      </c>
      <c r="Z20" s="67">
        <v>16197.48</v>
      </c>
      <c r="AA20" s="67">
        <v>0</v>
      </c>
      <c r="AB20" s="67">
        <v>32395.05</v>
      </c>
      <c r="AC20" s="67">
        <v>0</v>
      </c>
      <c r="AD20" s="67">
        <v>48592.53</v>
      </c>
      <c r="AE20" s="67">
        <v>0</v>
      </c>
      <c r="AF20" s="67">
        <v>24296.15</v>
      </c>
      <c r="AG20" s="67">
        <v>0</v>
      </c>
      <c r="AH20" s="60"/>
      <c r="AI20" s="23"/>
    </row>
    <row r="21" spans="1:35" s="22" customFormat="1" ht="115.5" customHeight="1" x14ac:dyDescent="0.25">
      <c r="A21" s="541"/>
      <c r="B21" s="535"/>
      <c r="C21" s="428" t="s">
        <v>21</v>
      </c>
      <c r="D21" s="74">
        <f>SUM(J21,L21,N21,P21,R21,T21,V21,X21,Z21,AB21,AD21,AF21)</f>
        <v>26539.9</v>
      </c>
      <c r="E21" s="74">
        <f>J21+L21+N21+P21+R21+T21+V21+X21</f>
        <v>5099.3100000000004</v>
      </c>
      <c r="F21" s="74">
        <f>G21</f>
        <v>600</v>
      </c>
      <c r="G21" s="74">
        <f>SUM(K21,M21,O21,Q21,S21,U21,W21,Y21,AA21,AC21,AE21,AG21)</f>
        <v>600</v>
      </c>
      <c r="H21" s="74">
        <f t="shared" si="15"/>
        <v>2.2607470261756824</v>
      </c>
      <c r="I21" s="74">
        <f t="shared" si="16"/>
        <v>11.766297793230848</v>
      </c>
      <c r="J21" s="67">
        <v>0</v>
      </c>
      <c r="K21" s="67">
        <v>0</v>
      </c>
      <c r="L21" s="67">
        <v>0</v>
      </c>
      <c r="M21" s="67">
        <v>0</v>
      </c>
      <c r="N21" s="67">
        <v>0</v>
      </c>
      <c r="O21" s="67">
        <v>0</v>
      </c>
      <c r="P21" s="67">
        <v>0</v>
      </c>
      <c r="Q21" s="67">
        <v>0</v>
      </c>
      <c r="R21" s="67">
        <v>0</v>
      </c>
      <c r="S21" s="67">
        <v>0</v>
      </c>
      <c r="T21" s="67">
        <v>0</v>
      </c>
      <c r="U21" s="67">
        <v>600</v>
      </c>
      <c r="V21" s="67">
        <v>3299.59</v>
      </c>
      <c r="W21" s="67">
        <v>0</v>
      </c>
      <c r="X21" s="67">
        <v>1799.72</v>
      </c>
      <c r="Y21" s="67">
        <v>0</v>
      </c>
      <c r="Z21" s="67">
        <v>1799.72</v>
      </c>
      <c r="AA21" s="67">
        <v>0</v>
      </c>
      <c r="AB21" s="67">
        <v>5109.8500000000004</v>
      </c>
      <c r="AC21" s="67">
        <v>0</v>
      </c>
      <c r="AD21" s="67">
        <v>5399.17</v>
      </c>
      <c r="AE21" s="67">
        <v>0</v>
      </c>
      <c r="AF21" s="67">
        <v>9131.85</v>
      </c>
      <c r="AG21" s="67">
        <v>0</v>
      </c>
      <c r="AH21" s="64"/>
      <c r="AI21" s="20"/>
    </row>
    <row r="22" spans="1:35" s="22" customFormat="1" ht="28.5" customHeight="1" x14ac:dyDescent="0.25">
      <c r="A22" s="545" t="s">
        <v>38</v>
      </c>
      <c r="B22" s="533" t="s">
        <v>87</v>
      </c>
      <c r="C22" s="69" t="s">
        <v>20</v>
      </c>
      <c r="D22" s="70">
        <f>D24+D23+D25</f>
        <v>717686.31400000001</v>
      </c>
      <c r="E22" s="70">
        <f t="shared" ref="E22:G22" si="18">E24+E23+E25</f>
        <v>472587.73299999995</v>
      </c>
      <c r="F22" s="70">
        <f t="shared" si="18"/>
        <v>438382.41399999999</v>
      </c>
      <c r="G22" s="70">
        <f t="shared" si="18"/>
        <v>438382.41399999999</v>
      </c>
      <c r="H22" s="70">
        <f t="shared" si="12"/>
        <v>61.082732866492975</v>
      </c>
      <c r="I22" s="70">
        <f t="shared" si="13"/>
        <v>92.762122964372423</v>
      </c>
      <c r="J22" s="71">
        <f>J24+J23+J25</f>
        <v>27720.603999999999</v>
      </c>
      <c r="K22" s="71">
        <f t="shared" ref="K22:AG22" si="19">K24+K23+K25</f>
        <v>26656.165999999997</v>
      </c>
      <c r="L22" s="71">
        <f t="shared" si="19"/>
        <v>31753.087999999996</v>
      </c>
      <c r="M22" s="71">
        <f t="shared" si="19"/>
        <v>30852.559999999998</v>
      </c>
      <c r="N22" s="71">
        <f t="shared" si="19"/>
        <v>28946.351999999999</v>
      </c>
      <c r="O22" s="71">
        <f t="shared" si="19"/>
        <v>27614.918000000001</v>
      </c>
      <c r="P22" s="71">
        <f t="shared" si="19"/>
        <v>32161.761000000002</v>
      </c>
      <c r="Q22" s="71">
        <f t="shared" si="19"/>
        <v>31485.486999999997</v>
      </c>
      <c r="R22" s="71">
        <f t="shared" si="19"/>
        <v>64602.091999999997</v>
      </c>
      <c r="S22" s="71">
        <f t="shared" si="19"/>
        <v>63931.294999999998</v>
      </c>
      <c r="T22" s="71">
        <f t="shared" si="19"/>
        <v>156506.554</v>
      </c>
      <c r="U22" s="71">
        <f t="shared" si="19"/>
        <v>155672.01200000002</v>
      </c>
      <c r="V22" s="71">
        <f t="shared" si="19"/>
        <v>59206.208999999995</v>
      </c>
      <c r="W22" s="71">
        <f t="shared" si="19"/>
        <v>51261.876000000004</v>
      </c>
      <c r="X22" s="71">
        <f t="shared" si="19"/>
        <v>71691.072999999989</v>
      </c>
      <c r="Y22" s="71">
        <f t="shared" si="19"/>
        <v>50908.099999999991</v>
      </c>
      <c r="Z22" s="71">
        <f t="shared" si="19"/>
        <v>85695.466</v>
      </c>
      <c r="AA22" s="71">
        <f t="shared" si="19"/>
        <v>0</v>
      </c>
      <c r="AB22" s="71">
        <f t="shared" si="19"/>
        <v>93041.746000000014</v>
      </c>
      <c r="AC22" s="71">
        <f t="shared" si="19"/>
        <v>0</v>
      </c>
      <c r="AD22" s="71">
        <f t="shared" si="19"/>
        <v>56544.593000000001</v>
      </c>
      <c r="AE22" s="71">
        <f t="shared" si="19"/>
        <v>0</v>
      </c>
      <c r="AF22" s="71">
        <f t="shared" si="19"/>
        <v>9816.7759999999998</v>
      </c>
      <c r="AG22" s="71">
        <f t="shared" si="19"/>
        <v>0</v>
      </c>
      <c r="AH22" s="60"/>
      <c r="AI22" s="20"/>
    </row>
    <row r="23" spans="1:35" s="26" customFormat="1" ht="55.5" customHeight="1" x14ac:dyDescent="0.25">
      <c r="A23" s="546"/>
      <c r="B23" s="534"/>
      <c r="C23" s="426" t="s">
        <v>22</v>
      </c>
      <c r="D23" s="74">
        <f>SUM(J23,L23,N23,P23,R23,T23,V23,X23,Z23,AB23,AD23,AF23)</f>
        <v>26873.4</v>
      </c>
      <c r="E23" s="74">
        <f>J23+L23+N23+P23+R23+T23+V23+X23</f>
        <v>0</v>
      </c>
      <c r="F23" s="74">
        <f>G23</f>
        <v>0</v>
      </c>
      <c r="G23" s="74">
        <f>SUM(K23,M23,O23,Q23,S23,U23,W23,Y23,AA23,AC23,AE23,AG23)</f>
        <v>0</v>
      </c>
      <c r="H23" s="74">
        <f>IFERROR(G23/D23*100,0)</f>
        <v>0</v>
      </c>
      <c r="I23" s="74">
        <f>IFERROR(G23/E23*100,0)</f>
        <v>0</v>
      </c>
      <c r="J23" s="67">
        <f>J39</f>
        <v>0</v>
      </c>
      <c r="K23" s="67">
        <f t="shared" ref="K23:AG23" si="20">K39</f>
        <v>0</v>
      </c>
      <c r="L23" s="67">
        <f t="shared" si="20"/>
        <v>0</v>
      </c>
      <c r="M23" s="67">
        <f t="shared" si="20"/>
        <v>0</v>
      </c>
      <c r="N23" s="67">
        <f t="shared" si="20"/>
        <v>0</v>
      </c>
      <c r="O23" s="67">
        <f t="shared" si="20"/>
        <v>0</v>
      </c>
      <c r="P23" s="67">
        <f t="shared" si="20"/>
        <v>0</v>
      </c>
      <c r="Q23" s="67">
        <f t="shared" si="20"/>
        <v>0</v>
      </c>
      <c r="R23" s="67">
        <f t="shared" si="20"/>
        <v>0</v>
      </c>
      <c r="S23" s="67">
        <f t="shared" si="20"/>
        <v>0</v>
      </c>
      <c r="T23" s="67">
        <f t="shared" si="20"/>
        <v>0</v>
      </c>
      <c r="U23" s="67">
        <f t="shared" si="20"/>
        <v>0</v>
      </c>
      <c r="V23" s="67">
        <f t="shared" si="20"/>
        <v>0</v>
      </c>
      <c r="W23" s="67">
        <f t="shared" si="20"/>
        <v>0</v>
      </c>
      <c r="X23" s="67">
        <f t="shared" si="20"/>
        <v>0</v>
      </c>
      <c r="Y23" s="67">
        <f t="shared" si="20"/>
        <v>0</v>
      </c>
      <c r="Z23" s="67">
        <f t="shared" si="20"/>
        <v>0</v>
      </c>
      <c r="AA23" s="67">
        <f t="shared" si="20"/>
        <v>0</v>
      </c>
      <c r="AB23" s="67">
        <f t="shared" si="20"/>
        <v>26873.4</v>
      </c>
      <c r="AC23" s="67">
        <f t="shared" si="20"/>
        <v>0</v>
      </c>
      <c r="AD23" s="67">
        <f t="shared" si="20"/>
        <v>0</v>
      </c>
      <c r="AE23" s="67">
        <f t="shared" si="20"/>
        <v>0</v>
      </c>
      <c r="AF23" s="67">
        <f t="shared" si="20"/>
        <v>0</v>
      </c>
      <c r="AG23" s="67">
        <f t="shared" si="20"/>
        <v>0</v>
      </c>
      <c r="AH23" s="72"/>
      <c r="AI23" s="24"/>
    </row>
    <row r="24" spans="1:35" s="26" customFormat="1" ht="62.25" customHeight="1" x14ac:dyDescent="0.25">
      <c r="A24" s="546"/>
      <c r="B24" s="534"/>
      <c r="C24" s="426" t="s">
        <v>21</v>
      </c>
      <c r="D24" s="74">
        <f>SUM(J24,L24,N24,P24,R24,T24,V24,X24,Z24,AB24,AD24,AF24)</f>
        <v>674289.91399999999</v>
      </c>
      <c r="E24" s="74">
        <f t="shared" ref="E24:E25" si="21">J24+L24+N24+P24+R24+T24+V24+X24</f>
        <v>460950.21499999997</v>
      </c>
      <c r="F24" s="74">
        <f>G24</f>
        <v>433748.58499999996</v>
      </c>
      <c r="G24" s="74">
        <f>SUM(K24,M24,O24,Q24,S24,U24,W24,Y24,AA24,AC24,AE24,AG24)</f>
        <v>433748.58499999996</v>
      </c>
      <c r="H24" s="74">
        <f>IFERROR(G24/D24*100,0)</f>
        <v>64.326720004890944</v>
      </c>
      <c r="I24" s="74">
        <f>IFERROR(G24/E24*100,0)</f>
        <v>94.098792209045826</v>
      </c>
      <c r="J24" s="67">
        <f>J27+J31+J34+J37+J40</f>
        <v>26518.763999999999</v>
      </c>
      <c r="K24" s="67">
        <f t="shared" ref="K24:AG24" si="22">K27+K31+K34+K37+K40</f>
        <v>26491.578999999998</v>
      </c>
      <c r="L24" s="67">
        <f t="shared" si="22"/>
        <v>30588.607999999997</v>
      </c>
      <c r="M24" s="67">
        <f t="shared" si="22"/>
        <v>30561.660999999996</v>
      </c>
      <c r="N24" s="67">
        <f t="shared" si="22"/>
        <v>27433.392</v>
      </c>
      <c r="O24" s="67">
        <f t="shared" si="22"/>
        <v>27355.128000000001</v>
      </c>
      <c r="P24" s="67">
        <f t="shared" si="22"/>
        <v>30774.485000000001</v>
      </c>
      <c r="Q24" s="67">
        <f t="shared" si="22"/>
        <v>30756.67</v>
      </c>
      <c r="R24" s="67">
        <f t="shared" si="22"/>
        <v>63345.343999999997</v>
      </c>
      <c r="S24" s="67">
        <f t="shared" si="22"/>
        <v>63357.955000000002</v>
      </c>
      <c r="T24" s="67">
        <f t="shared" si="22"/>
        <v>154984.18100000001</v>
      </c>
      <c r="U24" s="67">
        <f t="shared" si="22"/>
        <v>154972.14600000001</v>
      </c>
      <c r="V24" s="67">
        <f t="shared" si="22"/>
        <v>57544.324999999997</v>
      </c>
      <c r="W24" s="67">
        <f t="shared" si="22"/>
        <v>49968.603000000003</v>
      </c>
      <c r="X24" s="67">
        <f t="shared" si="22"/>
        <v>69761.115999999995</v>
      </c>
      <c r="Y24" s="67">
        <f t="shared" si="22"/>
        <v>50284.842999999993</v>
      </c>
      <c r="Z24" s="67">
        <f t="shared" si="22"/>
        <v>84520.59</v>
      </c>
      <c r="AA24" s="67">
        <f t="shared" si="22"/>
        <v>0</v>
      </c>
      <c r="AB24" s="67">
        <f t="shared" si="22"/>
        <v>64888.851999999999</v>
      </c>
      <c r="AC24" s="67">
        <f t="shared" si="22"/>
        <v>0</v>
      </c>
      <c r="AD24" s="67">
        <f t="shared" si="22"/>
        <v>55288.055</v>
      </c>
      <c r="AE24" s="67">
        <f t="shared" si="22"/>
        <v>0</v>
      </c>
      <c r="AF24" s="67">
        <f t="shared" si="22"/>
        <v>8642.2019999999993</v>
      </c>
      <c r="AG24" s="67">
        <f t="shared" si="22"/>
        <v>0</v>
      </c>
      <c r="AH24" s="72"/>
      <c r="AI24" s="24"/>
    </row>
    <row r="25" spans="1:35" s="26" customFormat="1" ht="62.25" customHeight="1" x14ac:dyDescent="0.25">
      <c r="A25" s="594"/>
      <c r="B25" s="535"/>
      <c r="C25" s="426" t="s">
        <v>40</v>
      </c>
      <c r="D25" s="74">
        <f>SUM(J25,L25,N25,P25,R25,T25,V25,X25,Z25,AB25,AD25,AF25)</f>
        <v>16523</v>
      </c>
      <c r="E25" s="74">
        <f t="shared" si="21"/>
        <v>11637.518</v>
      </c>
      <c r="F25" s="74">
        <f>G25</f>
        <v>4633.8289999999997</v>
      </c>
      <c r="G25" s="74">
        <f>SUM(K25,M25,O25,Q25,S25,U25,W25,Y25,AA25,AC25,AE25,AG25)</f>
        <v>4633.8289999999997</v>
      </c>
      <c r="H25" s="74">
        <f>IFERROR(G25/D25*100,0)</f>
        <v>28.044719481934273</v>
      </c>
      <c r="I25" s="74">
        <f>IFERROR(G25/E25*100,0)</f>
        <v>39.818017896943317</v>
      </c>
      <c r="J25" s="67">
        <f>J28</f>
        <v>1201.8399999999999</v>
      </c>
      <c r="K25" s="67">
        <f>K28</f>
        <v>164.58699999999999</v>
      </c>
      <c r="L25" s="67">
        <f t="shared" ref="L25:AG25" si="23">L28</f>
        <v>1164.48</v>
      </c>
      <c r="M25" s="67">
        <f t="shared" si="23"/>
        <v>290.899</v>
      </c>
      <c r="N25" s="67">
        <f t="shared" si="23"/>
        <v>1512.96</v>
      </c>
      <c r="O25" s="67">
        <f t="shared" si="23"/>
        <v>259.79000000000002</v>
      </c>
      <c r="P25" s="67">
        <f t="shared" si="23"/>
        <v>1387.2760000000001</v>
      </c>
      <c r="Q25" s="67">
        <f t="shared" si="23"/>
        <v>728.81700000000001</v>
      </c>
      <c r="R25" s="67">
        <f t="shared" si="23"/>
        <v>1256.748</v>
      </c>
      <c r="S25" s="67">
        <f t="shared" si="23"/>
        <v>573.34</v>
      </c>
      <c r="T25" s="67">
        <f t="shared" si="23"/>
        <v>1522.373</v>
      </c>
      <c r="U25" s="67">
        <f t="shared" si="23"/>
        <v>699.86599999999999</v>
      </c>
      <c r="V25" s="67">
        <f t="shared" si="23"/>
        <v>1661.884</v>
      </c>
      <c r="W25" s="67">
        <f t="shared" si="23"/>
        <v>1293.2729999999999</v>
      </c>
      <c r="X25" s="67">
        <f t="shared" si="23"/>
        <v>1929.9570000000001</v>
      </c>
      <c r="Y25" s="67">
        <f t="shared" si="23"/>
        <v>623.25699999999995</v>
      </c>
      <c r="Z25" s="67">
        <f t="shared" si="23"/>
        <v>1174.876</v>
      </c>
      <c r="AA25" s="67">
        <f t="shared" si="23"/>
        <v>0</v>
      </c>
      <c r="AB25" s="67">
        <f t="shared" si="23"/>
        <v>1279.4939999999999</v>
      </c>
      <c r="AC25" s="67">
        <f t="shared" si="23"/>
        <v>0</v>
      </c>
      <c r="AD25" s="67">
        <f t="shared" si="23"/>
        <v>1256.538</v>
      </c>
      <c r="AE25" s="67">
        <f t="shared" si="23"/>
        <v>0</v>
      </c>
      <c r="AF25" s="67">
        <f t="shared" si="23"/>
        <v>1174.5740000000001</v>
      </c>
      <c r="AG25" s="67">
        <f t="shared" si="23"/>
        <v>0</v>
      </c>
      <c r="AH25" s="72"/>
      <c r="AI25" s="24"/>
    </row>
    <row r="26" spans="1:35" s="22" customFormat="1" ht="30.75" customHeight="1" x14ac:dyDescent="0.25">
      <c r="A26" s="558" t="s">
        <v>99</v>
      </c>
      <c r="B26" s="550" t="s">
        <v>91</v>
      </c>
      <c r="C26" s="57" t="s">
        <v>20</v>
      </c>
      <c r="D26" s="70">
        <f>D28+D27</f>
        <v>268799.79999999993</v>
      </c>
      <c r="E26" s="70">
        <f t="shared" ref="E26:G26" si="24">E28+E27</f>
        <v>221002.09199999998</v>
      </c>
      <c r="F26" s="70">
        <f t="shared" si="24"/>
        <v>213998.40600000002</v>
      </c>
      <c r="G26" s="70">
        <f t="shared" si="24"/>
        <v>213998.40600000002</v>
      </c>
      <c r="H26" s="58">
        <f t="shared" ref="H26" si="25">IFERROR(G26/D26*100,0)</f>
        <v>79.612561467679683</v>
      </c>
      <c r="I26" s="58">
        <f t="shared" ref="I26" si="26">IFERROR(G26/E26*100,0)</f>
        <v>96.830941310727525</v>
      </c>
      <c r="J26" s="59">
        <f>J28+J27</f>
        <v>27450.583999999999</v>
      </c>
      <c r="K26" s="59">
        <f t="shared" ref="K26:AG26" si="27">K28+K27</f>
        <v>26413.330999999998</v>
      </c>
      <c r="L26" s="59">
        <f t="shared" si="27"/>
        <v>30605.437999999998</v>
      </c>
      <c r="M26" s="59">
        <f t="shared" si="27"/>
        <v>29731.857</v>
      </c>
      <c r="N26" s="59">
        <f t="shared" si="27"/>
        <v>27962.062999999998</v>
      </c>
      <c r="O26" s="59">
        <f t="shared" si="27"/>
        <v>26708.895</v>
      </c>
      <c r="P26" s="59">
        <f t="shared" si="27"/>
        <v>31618.726000000002</v>
      </c>
      <c r="Q26" s="59">
        <f t="shared" si="27"/>
        <v>30960.261999999999</v>
      </c>
      <c r="R26" s="59">
        <f t="shared" si="27"/>
        <v>43080.902999999998</v>
      </c>
      <c r="S26" s="59">
        <f t="shared" si="27"/>
        <v>42397.494999999995</v>
      </c>
      <c r="T26" s="59">
        <f t="shared" si="27"/>
        <v>24032.573</v>
      </c>
      <c r="U26" s="59">
        <f t="shared" si="27"/>
        <v>23210.065999999999</v>
      </c>
      <c r="V26" s="59">
        <f t="shared" si="27"/>
        <v>21305.010000000002</v>
      </c>
      <c r="W26" s="59">
        <f t="shared" si="27"/>
        <v>20936.399000000001</v>
      </c>
      <c r="X26" s="59">
        <f t="shared" si="27"/>
        <v>14946.795</v>
      </c>
      <c r="Y26" s="59">
        <f t="shared" si="27"/>
        <v>13640.100999999999</v>
      </c>
      <c r="Z26" s="59">
        <f t="shared" si="27"/>
        <v>13379.078</v>
      </c>
      <c r="AA26" s="59">
        <f t="shared" si="27"/>
        <v>0</v>
      </c>
      <c r="AB26" s="59">
        <f t="shared" si="27"/>
        <v>12082.642</v>
      </c>
      <c r="AC26" s="59">
        <f t="shared" si="27"/>
        <v>0</v>
      </c>
      <c r="AD26" s="59">
        <f t="shared" si="27"/>
        <v>13290.563</v>
      </c>
      <c r="AE26" s="59">
        <f t="shared" si="27"/>
        <v>0</v>
      </c>
      <c r="AF26" s="59">
        <f t="shared" si="27"/>
        <v>9045.4249999999993</v>
      </c>
      <c r="AG26" s="59">
        <f t="shared" si="27"/>
        <v>0</v>
      </c>
      <c r="AH26" s="60"/>
      <c r="AI26" s="20"/>
    </row>
    <row r="27" spans="1:35" s="22" customFormat="1" ht="54" customHeight="1" x14ac:dyDescent="0.25">
      <c r="A27" s="559"/>
      <c r="B27" s="551"/>
      <c r="C27" s="61" t="s">
        <v>21</v>
      </c>
      <c r="D27" s="74">
        <f>SUM(J27,L27,N27,P27,R27,T27,V27,X27,Z27,AB27,AD27,AF27)</f>
        <v>252276.79999999993</v>
      </c>
      <c r="E27" s="74">
        <f>J27+L27+N27+P27+R27+T27+V27+X27</f>
        <v>209364.57399999996</v>
      </c>
      <c r="F27" s="74">
        <f>G27</f>
        <v>209364.57700000002</v>
      </c>
      <c r="G27" s="74">
        <f>SUM(K27,M27,O27,Q27,S27,U27,W27,Y27,AA27,AC27,AE27,AG27)</f>
        <v>209364.57700000002</v>
      </c>
      <c r="H27" s="62">
        <f>IFERROR(G27/D27*100,0)</f>
        <v>82.99002405294506</v>
      </c>
      <c r="I27" s="62">
        <f>IFERROR(G27/E27*100,0)</f>
        <v>100.0000014329072</v>
      </c>
      <c r="J27" s="63">
        <v>26248.743999999999</v>
      </c>
      <c r="K27" s="63">
        <v>26248.743999999999</v>
      </c>
      <c r="L27" s="63">
        <v>29440.957999999999</v>
      </c>
      <c r="M27" s="63">
        <v>29440.957999999999</v>
      </c>
      <c r="N27" s="63">
        <v>26449.102999999999</v>
      </c>
      <c r="O27" s="63">
        <v>26449.105</v>
      </c>
      <c r="P27" s="63">
        <v>30231.45</v>
      </c>
      <c r="Q27" s="63">
        <v>30231.445</v>
      </c>
      <c r="R27" s="63">
        <v>41824.154999999999</v>
      </c>
      <c r="S27" s="63">
        <v>41824.154999999999</v>
      </c>
      <c r="T27" s="63">
        <v>22510.2</v>
      </c>
      <c r="U27" s="63">
        <v>22510.2</v>
      </c>
      <c r="V27" s="63">
        <v>19643.126</v>
      </c>
      <c r="W27" s="63">
        <v>19643.126</v>
      </c>
      <c r="X27" s="63">
        <v>13016.838</v>
      </c>
      <c r="Y27" s="63">
        <v>13016.843999999999</v>
      </c>
      <c r="Z27" s="63">
        <v>12204.201999999999</v>
      </c>
      <c r="AA27" s="63">
        <v>0</v>
      </c>
      <c r="AB27" s="63">
        <v>10803.147999999999</v>
      </c>
      <c r="AC27" s="63">
        <v>0</v>
      </c>
      <c r="AD27" s="63">
        <v>12034.025</v>
      </c>
      <c r="AE27" s="63">
        <v>0</v>
      </c>
      <c r="AF27" s="63">
        <v>7870.8509999999997</v>
      </c>
      <c r="AG27" s="63">
        <v>0</v>
      </c>
      <c r="AH27" s="60"/>
      <c r="AI27" s="20"/>
    </row>
    <row r="28" spans="1:35" s="22" customFormat="1" ht="46.5" customHeight="1" x14ac:dyDescent="0.25">
      <c r="A28" s="560"/>
      <c r="B28" s="551"/>
      <c r="C28" s="61" t="s">
        <v>40</v>
      </c>
      <c r="D28" s="427">
        <f>SUM(J28,L28,N28,P28,R28,T28,V28,X28,Z28,AB28,AD28,AF28)</f>
        <v>16523</v>
      </c>
      <c r="E28" s="74">
        <f>J28+L28+N28+P28+R28+T28+V28+X28</f>
        <v>11637.518</v>
      </c>
      <c r="F28" s="74">
        <f>G28</f>
        <v>4633.8289999999997</v>
      </c>
      <c r="G28" s="74">
        <f>SUM(K28,M28,O28,Q28,S28,U28,W28,Y28,AA28,AC28,AE28,AG28)</f>
        <v>4633.8289999999997</v>
      </c>
      <c r="H28" s="62">
        <f>IFERROR(G28/D28*100,0)</f>
        <v>28.044719481934273</v>
      </c>
      <c r="I28" s="62">
        <f>IFERROR(G28/E28*100,0)</f>
        <v>39.818017896943317</v>
      </c>
      <c r="J28" s="63">
        <v>1201.8399999999999</v>
      </c>
      <c r="K28" s="63">
        <v>164.58699999999999</v>
      </c>
      <c r="L28" s="63">
        <v>1164.48</v>
      </c>
      <c r="M28" s="63">
        <v>290.899</v>
      </c>
      <c r="N28" s="63">
        <v>1512.96</v>
      </c>
      <c r="O28" s="63">
        <v>259.79000000000002</v>
      </c>
      <c r="P28" s="63">
        <v>1387.2760000000001</v>
      </c>
      <c r="Q28" s="63">
        <v>728.81700000000001</v>
      </c>
      <c r="R28" s="63">
        <v>1256.748</v>
      </c>
      <c r="S28" s="63">
        <v>573.34</v>
      </c>
      <c r="T28" s="63">
        <v>1522.373</v>
      </c>
      <c r="U28" s="63">
        <v>699.86599999999999</v>
      </c>
      <c r="V28" s="63">
        <v>1661.884</v>
      </c>
      <c r="W28" s="63">
        <v>1293.2729999999999</v>
      </c>
      <c r="X28" s="63">
        <v>1929.9570000000001</v>
      </c>
      <c r="Y28" s="63">
        <v>623.25699999999995</v>
      </c>
      <c r="Z28" s="63">
        <v>1174.876</v>
      </c>
      <c r="AA28" s="63">
        <v>0</v>
      </c>
      <c r="AB28" s="63">
        <v>1279.4939999999999</v>
      </c>
      <c r="AC28" s="63">
        <v>0</v>
      </c>
      <c r="AD28" s="63">
        <v>1256.538</v>
      </c>
      <c r="AE28" s="63">
        <v>0</v>
      </c>
      <c r="AF28" s="63">
        <v>1174.5740000000001</v>
      </c>
      <c r="AG28" s="63">
        <v>0</v>
      </c>
      <c r="AH28" s="60"/>
      <c r="AI28" s="20"/>
    </row>
    <row r="29" spans="1:35" s="22" customFormat="1" ht="42.75" customHeight="1" x14ac:dyDescent="0.25">
      <c r="A29" s="560" t="s">
        <v>98</v>
      </c>
      <c r="B29" s="575" t="s">
        <v>92</v>
      </c>
      <c r="C29" s="69" t="s">
        <v>20</v>
      </c>
      <c r="D29" s="70">
        <f>D31+D30</f>
        <v>27841.527999999998</v>
      </c>
      <c r="E29" s="70">
        <f t="shared" ref="E29:G29" si="28">E31+E30</f>
        <v>10079.262000000001</v>
      </c>
      <c r="F29" s="70">
        <f t="shared" si="28"/>
        <v>9912.1699999999983</v>
      </c>
      <c r="G29" s="70">
        <f t="shared" si="28"/>
        <v>9912.1699999999983</v>
      </c>
      <c r="H29" s="70">
        <f t="shared" ref="H29" si="29">IFERROR(G29/D29*100,0)</f>
        <v>35.602104884473292</v>
      </c>
      <c r="I29" s="70">
        <f t="shared" ref="I29" si="30">IFERROR(G29/E29*100,0)</f>
        <v>98.342219896655109</v>
      </c>
      <c r="J29" s="71">
        <f>J31+J30</f>
        <v>270.02</v>
      </c>
      <c r="K29" s="71">
        <f t="shared" ref="K29:AG29" si="31">K31+K30</f>
        <v>242.83500000000001</v>
      </c>
      <c r="L29" s="71">
        <f t="shared" si="31"/>
        <v>547.88699999999994</v>
      </c>
      <c r="M29" s="71">
        <f t="shared" si="31"/>
        <v>520.94000000000005</v>
      </c>
      <c r="N29" s="71">
        <f t="shared" si="31"/>
        <v>487.613</v>
      </c>
      <c r="O29" s="71">
        <f t="shared" si="31"/>
        <v>474.30399999999997</v>
      </c>
      <c r="P29" s="71">
        <f t="shared" si="31"/>
        <v>543.03499999999997</v>
      </c>
      <c r="Q29" s="71">
        <f t="shared" si="31"/>
        <v>525.22500000000002</v>
      </c>
      <c r="R29" s="71">
        <f t="shared" si="31"/>
        <v>530.50900000000001</v>
      </c>
      <c r="S29" s="71">
        <f t="shared" si="31"/>
        <v>543.11500000000001</v>
      </c>
      <c r="T29" s="71">
        <f t="shared" si="31"/>
        <v>840.29</v>
      </c>
      <c r="U29" s="71">
        <f t="shared" si="31"/>
        <v>828.25599999999997</v>
      </c>
      <c r="V29" s="71">
        <f t="shared" si="31"/>
        <v>5791.299</v>
      </c>
      <c r="W29" s="71">
        <f t="shared" si="31"/>
        <v>5776.4719999999998</v>
      </c>
      <c r="X29" s="71">
        <f t="shared" si="31"/>
        <v>1068.6089999999999</v>
      </c>
      <c r="Y29" s="71">
        <f t="shared" si="31"/>
        <v>1001.023</v>
      </c>
      <c r="Z29" s="71">
        <f t="shared" si="31"/>
        <v>3925.6610000000001</v>
      </c>
      <c r="AA29" s="71">
        <f t="shared" si="31"/>
        <v>0</v>
      </c>
      <c r="AB29" s="71">
        <f t="shared" si="31"/>
        <v>12112.874</v>
      </c>
      <c r="AC29" s="71">
        <f t="shared" si="31"/>
        <v>0</v>
      </c>
      <c r="AD29" s="71">
        <f t="shared" si="31"/>
        <v>952.38</v>
      </c>
      <c r="AE29" s="71">
        <f t="shared" si="31"/>
        <v>0</v>
      </c>
      <c r="AF29" s="71">
        <f t="shared" si="31"/>
        <v>771.351</v>
      </c>
      <c r="AG29" s="71">
        <f t="shared" si="31"/>
        <v>0</v>
      </c>
      <c r="AH29" s="60"/>
      <c r="AI29" s="20"/>
    </row>
    <row r="30" spans="1:35" s="22" customFormat="1" ht="58.5" hidden="1" customHeight="1" x14ac:dyDescent="0.25">
      <c r="A30" s="560"/>
      <c r="B30" s="576"/>
      <c r="C30" s="429" t="s">
        <v>22</v>
      </c>
      <c r="D30" s="74">
        <f>SUM(J30,L30,N30,P30,R30,T30,V30,X30,Z30,AB30,AD30,AF30)</f>
        <v>0</v>
      </c>
      <c r="E30" s="74">
        <f>J30</f>
        <v>0</v>
      </c>
      <c r="F30" s="74">
        <f>G30</f>
        <v>0</v>
      </c>
      <c r="G30" s="74">
        <f>SUM(K30,M30,O30,Q30,S30,U30,W30,Y30,AA30,AC30,AE30,AG30)</f>
        <v>0</v>
      </c>
      <c r="H30" s="74">
        <f>IFERROR(G30/D30*100,0)</f>
        <v>0</v>
      </c>
      <c r="I30" s="74">
        <f>IFERROR(G30/E30*100,0)</f>
        <v>0</v>
      </c>
      <c r="J30" s="67">
        <v>0</v>
      </c>
      <c r="K30" s="67">
        <v>0</v>
      </c>
      <c r="L30" s="67">
        <v>0</v>
      </c>
      <c r="M30" s="67">
        <v>0</v>
      </c>
      <c r="N30" s="67">
        <v>0</v>
      </c>
      <c r="O30" s="67">
        <v>0</v>
      </c>
      <c r="P30" s="67">
        <v>0</v>
      </c>
      <c r="Q30" s="67">
        <v>0</v>
      </c>
      <c r="R30" s="67">
        <v>0</v>
      </c>
      <c r="S30" s="67">
        <v>0</v>
      </c>
      <c r="T30" s="67">
        <v>0</v>
      </c>
      <c r="U30" s="67">
        <v>0</v>
      </c>
      <c r="V30" s="67">
        <v>0</v>
      </c>
      <c r="W30" s="67">
        <v>0</v>
      </c>
      <c r="X30" s="67">
        <v>0</v>
      </c>
      <c r="Y30" s="67">
        <v>0</v>
      </c>
      <c r="Z30" s="67">
        <v>0</v>
      </c>
      <c r="AA30" s="67">
        <v>0</v>
      </c>
      <c r="AB30" s="67">
        <v>0</v>
      </c>
      <c r="AC30" s="67">
        <v>0</v>
      </c>
      <c r="AD30" s="67">
        <v>0</v>
      </c>
      <c r="AE30" s="67">
        <v>0</v>
      </c>
      <c r="AF30" s="67">
        <v>0</v>
      </c>
      <c r="AG30" s="67">
        <v>0</v>
      </c>
      <c r="AH30" s="60"/>
      <c r="AI30" s="20"/>
    </row>
    <row r="31" spans="1:35" s="22" customFormat="1" ht="42.75" customHeight="1" x14ac:dyDescent="0.25">
      <c r="A31" s="567"/>
      <c r="B31" s="576"/>
      <c r="C31" s="429" t="s">
        <v>21</v>
      </c>
      <c r="D31" s="74">
        <f>SUM(J31,L31,N31,P31,R31,T31,V31,X31,Z31,AB31,AD31,AF31)</f>
        <v>27841.527999999998</v>
      </c>
      <c r="E31" s="74">
        <f>J31+L31+N31+P31+R31+T31+V31+X31</f>
        <v>10079.262000000001</v>
      </c>
      <c r="F31" s="74">
        <f>G31</f>
        <v>9912.1699999999983</v>
      </c>
      <c r="G31" s="74">
        <f>SUM(K31,M31,O31,Q31,S31,U31,W31,Y31,AA31,AC31,AE31,AG31)</f>
        <v>9912.1699999999983</v>
      </c>
      <c r="H31" s="74">
        <f>IFERROR(G31/D31*100,0)</f>
        <v>35.602104884473292</v>
      </c>
      <c r="I31" s="74">
        <f>IFERROR(G31/E31*100,0)</f>
        <v>98.342219896655109</v>
      </c>
      <c r="J31" s="67">
        <v>270.02</v>
      </c>
      <c r="K31" s="67">
        <v>242.83500000000001</v>
      </c>
      <c r="L31" s="67">
        <v>547.88699999999994</v>
      </c>
      <c r="M31" s="67">
        <v>520.94000000000005</v>
      </c>
      <c r="N31" s="67">
        <v>487.613</v>
      </c>
      <c r="O31" s="67">
        <v>474.30399999999997</v>
      </c>
      <c r="P31" s="67">
        <v>543.03499999999997</v>
      </c>
      <c r="Q31" s="67">
        <v>525.22500000000002</v>
      </c>
      <c r="R31" s="67">
        <v>530.50900000000001</v>
      </c>
      <c r="S31" s="67">
        <v>543.11500000000001</v>
      </c>
      <c r="T31" s="67">
        <v>840.29</v>
      </c>
      <c r="U31" s="67">
        <v>828.25599999999997</v>
      </c>
      <c r="V31" s="67">
        <v>5791.299</v>
      </c>
      <c r="W31" s="67">
        <v>5776.4719999999998</v>
      </c>
      <c r="X31" s="67">
        <v>1068.6089999999999</v>
      </c>
      <c r="Y31" s="67">
        <v>1001.023</v>
      </c>
      <c r="Z31" s="67">
        <v>3925.6610000000001</v>
      </c>
      <c r="AA31" s="67">
        <v>0</v>
      </c>
      <c r="AB31" s="67">
        <v>12112.874</v>
      </c>
      <c r="AC31" s="67">
        <v>0</v>
      </c>
      <c r="AD31" s="67">
        <v>952.38</v>
      </c>
      <c r="AE31" s="67">
        <v>0</v>
      </c>
      <c r="AF31" s="67">
        <v>771.351</v>
      </c>
      <c r="AG31" s="67">
        <v>0</v>
      </c>
      <c r="AH31" s="60"/>
      <c r="AI31" s="20"/>
    </row>
    <row r="32" spans="1:35" s="22" customFormat="1" ht="38.25" customHeight="1" x14ac:dyDescent="0.25">
      <c r="A32" s="664" t="s">
        <v>97</v>
      </c>
      <c r="B32" s="575" t="s">
        <v>93</v>
      </c>
      <c r="C32" s="69" t="s">
        <v>20</v>
      </c>
      <c r="D32" s="70">
        <f>D34+D33</f>
        <v>7197.5</v>
      </c>
      <c r="E32" s="70">
        <f t="shared" ref="E32:G32" si="32">E34+E33</f>
        <v>7065.7340000000004</v>
      </c>
      <c r="F32" s="70">
        <f t="shared" si="32"/>
        <v>7000.7729999999992</v>
      </c>
      <c r="G32" s="70">
        <f t="shared" si="32"/>
        <v>7000.7729999999992</v>
      </c>
      <c r="H32" s="70">
        <f t="shared" ref="H32" si="33">IFERROR(G32/D32*100,0)</f>
        <v>97.266731503994436</v>
      </c>
      <c r="I32" s="70">
        <f t="shared" ref="I32" si="34">IFERROR(G32/E32*100,0)</f>
        <v>99.080619225122248</v>
      </c>
      <c r="J32" s="71">
        <f>J34+J33</f>
        <v>0</v>
      </c>
      <c r="K32" s="71">
        <f t="shared" ref="K32:AG32" si="35">K34+K33</f>
        <v>0</v>
      </c>
      <c r="L32" s="71">
        <f t="shared" si="35"/>
        <v>0</v>
      </c>
      <c r="M32" s="71">
        <f t="shared" si="35"/>
        <v>0</v>
      </c>
      <c r="N32" s="71">
        <f t="shared" si="35"/>
        <v>210</v>
      </c>
      <c r="O32" s="71">
        <f t="shared" si="35"/>
        <v>145.04300000000001</v>
      </c>
      <c r="P32" s="71">
        <f t="shared" si="35"/>
        <v>0</v>
      </c>
      <c r="Q32" s="71">
        <f t="shared" si="35"/>
        <v>0</v>
      </c>
      <c r="R32" s="71">
        <f t="shared" si="35"/>
        <v>0</v>
      </c>
      <c r="S32" s="71">
        <f t="shared" si="35"/>
        <v>0</v>
      </c>
      <c r="T32" s="71">
        <f t="shared" si="35"/>
        <v>0</v>
      </c>
      <c r="U32" s="71">
        <f t="shared" si="35"/>
        <v>0</v>
      </c>
      <c r="V32" s="71">
        <f t="shared" si="35"/>
        <v>0</v>
      </c>
      <c r="W32" s="71">
        <f t="shared" si="35"/>
        <v>0</v>
      </c>
      <c r="X32" s="71">
        <f t="shared" si="35"/>
        <v>6855.7340000000004</v>
      </c>
      <c r="Y32" s="71">
        <f t="shared" si="35"/>
        <v>6855.73</v>
      </c>
      <c r="Z32" s="71">
        <f t="shared" si="35"/>
        <v>131.76599999999999</v>
      </c>
      <c r="AA32" s="71">
        <f t="shared" si="35"/>
        <v>0</v>
      </c>
      <c r="AB32" s="71">
        <f t="shared" si="35"/>
        <v>0</v>
      </c>
      <c r="AC32" s="71">
        <f t="shared" si="35"/>
        <v>0</v>
      </c>
      <c r="AD32" s="71">
        <f t="shared" si="35"/>
        <v>0</v>
      </c>
      <c r="AE32" s="71">
        <f t="shared" si="35"/>
        <v>0</v>
      </c>
      <c r="AF32" s="71">
        <f t="shared" si="35"/>
        <v>0</v>
      </c>
      <c r="AG32" s="71">
        <f t="shared" si="35"/>
        <v>0</v>
      </c>
      <c r="AH32" s="60"/>
      <c r="AI32" s="20"/>
    </row>
    <row r="33" spans="1:35" s="22" customFormat="1" ht="58.5" hidden="1" customHeight="1" x14ac:dyDescent="0.25">
      <c r="A33" s="560"/>
      <c r="B33" s="576"/>
      <c r="C33" s="429" t="s">
        <v>22</v>
      </c>
      <c r="D33" s="74">
        <f>SUM(J33,L33,N33,P33,R33,T33,V33,X33,Z33,AB33,AD33,AF33)</f>
        <v>0</v>
      </c>
      <c r="E33" s="74">
        <f>J33</f>
        <v>0</v>
      </c>
      <c r="F33" s="74">
        <f>G33</f>
        <v>0</v>
      </c>
      <c r="G33" s="74">
        <f>SUM(K33,M33,O33,Q33,S33,U33,W33,Y33,AA33,AC33,AE33,AG33)</f>
        <v>0</v>
      </c>
      <c r="H33" s="74">
        <f>IFERROR(G33/D33*100,0)</f>
        <v>0</v>
      </c>
      <c r="I33" s="74">
        <f>IFERROR(G33/E33*100,0)</f>
        <v>0</v>
      </c>
      <c r="J33" s="67">
        <v>0</v>
      </c>
      <c r="K33" s="67">
        <v>0</v>
      </c>
      <c r="L33" s="67">
        <v>0</v>
      </c>
      <c r="M33" s="67">
        <v>0</v>
      </c>
      <c r="N33" s="67">
        <v>0</v>
      </c>
      <c r="O33" s="67">
        <v>0</v>
      </c>
      <c r="P33" s="67">
        <v>0</v>
      </c>
      <c r="Q33" s="67">
        <v>0</v>
      </c>
      <c r="R33" s="67">
        <v>0</v>
      </c>
      <c r="S33" s="67">
        <v>0</v>
      </c>
      <c r="T33" s="67">
        <v>0</v>
      </c>
      <c r="U33" s="67">
        <v>0</v>
      </c>
      <c r="V33" s="67">
        <v>0</v>
      </c>
      <c r="W33" s="67">
        <v>0</v>
      </c>
      <c r="X33" s="67">
        <v>0</v>
      </c>
      <c r="Y33" s="67">
        <v>0</v>
      </c>
      <c r="Z33" s="67">
        <v>0</v>
      </c>
      <c r="AA33" s="67">
        <v>0</v>
      </c>
      <c r="AB33" s="67">
        <v>0</v>
      </c>
      <c r="AC33" s="67">
        <v>0</v>
      </c>
      <c r="AD33" s="67">
        <v>0</v>
      </c>
      <c r="AE33" s="67">
        <v>0</v>
      </c>
      <c r="AF33" s="67">
        <v>0</v>
      </c>
      <c r="AG33" s="67">
        <v>0</v>
      </c>
      <c r="AH33" s="60"/>
      <c r="AI33" s="20"/>
    </row>
    <row r="34" spans="1:35" s="22" customFormat="1" ht="48.75" customHeight="1" x14ac:dyDescent="0.25">
      <c r="A34" s="567"/>
      <c r="B34" s="576"/>
      <c r="C34" s="429" t="s">
        <v>21</v>
      </c>
      <c r="D34" s="74">
        <f>SUM(J34,L34,N34,P34,R34,T34,V34,X34,Z34,AB34,AD34,AF34)</f>
        <v>7197.5</v>
      </c>
      <c r="E34" s="74">
        <f>J34+L34+N34+P34+R34+T34+V34+X34</f>
        <v>7065.7340000000004</v>
      </c>
      <c r="F34" s="74">
        <f>G34</f>
        <v>7000.7729999999992</v>
      </c>
      <c r="G34" s="74">
        <f>SUM(K34,M34,O34,Q34,S34,U34,W34,Y34,AA34,AC34,AE34,AG34)</f>
        <v>7000.7729999999992</v>
      </c>
      <c r="H34" s="74">
        <f>IFERROR(G34/D34*100,0)</f>
        <v>97.266731503994436</v>
      </c>
      <c r="I34" s="74">
        <f>IFERROR(G34/E34*100,0)</f>
        <v>99.080619225122248</v>
      </c>
      <c r="J34" s="67">
        <v>0</v>
      </c>
      <c r="K34" s="67">
        <v>0</v>
      </c>
      <c r="L34" s="67">
        <v>0</v>
      </c>
      <c r="M34" s="67">
        <v>0</v>
      </c>
      <c r="N34" s="67">
        <v>210</v>
      </c>
      <c r="O34" s="67">
        <v>145.04300000000001</v>
      </c>
      <c r="P34" s="67">
        <v>0</v>
      </c>
      <c r="Q34" s="67">
        <v>0</v>
      </c>
      <c r="R34" s="67">
        <v>0</v>
      </c>
      <c r="S34" s="67">
        <v>0</v>
      </c>
      <c r="T34" s="67">
        <v>0</v>
      </c>
      <c r="U34" s="67">
        <v>0</v>
      </c>
      <c r="V34" s="67">
        <v>0</v>
      </c>
      <c r="W34" s="67">
        <v>0</v>
      </c>
      <c r="X34" s="67">
        <v>6855.7340000000004</v>
      </c>
      <c r="Y34" s="67">
        <v>6855.73</v>
      </c>
      <c r="Z34" s="67">
        <v>131.76599999999999</v>
      </c>
      <c r="AA34" s="67">
        <v>0</v>
      </c>
      <c r="AB34" s="67">
        <v>0</v>
      </c>
      <c r="AC34" s="67">
        <v>0</v>
      </c>
      <c r="AD34" s="67">
        <v>0</v>
      </c>
      <c r="AE34" s="67">
        <v>0</v>
      </c>
      <c r="AF34" s="67">
        <v>0</v>
      </c>
      <c r="AG34" s="67">
        <v>0</v>
      </c>
      <c r="AH34" s="60"/>
      <c r="AI34" s="20"/>
    </row>
    <row r="35" spans="1:35" s="22" customFormat="1" ht="48.75" customHeight="1" x14ac:dyDescent="0.25">
      <c r="A35" s="665" t="s">
        <v>100</v>
      </c>
      <c r="B35" s="575" t="s">
        <v>94</v>
      </c>
      <c r="C35" s="69" t="s">
        <v>20</v>
      </c>
      <c r="D35" s="70">
        <f>D37+D36</f>
        <v>99206</v>
      </c>
      <c r="E35" s="70">
        <f t="shared" ref="E35" si="36">E37+E36</f>
        <v>57113.25</v>
      </c>
      <c r="F35" s="70">
        <f t="shared" ref="F35" si="37">F37+F36</f>
        <v>51693</v>
      </c>
      <c r="G35" s="70">
        <f t="shared" ref="G35" si="38">G37+G36</f>
        <v>51693</v>
      </c>
      <c r="H35" s="70">
        <f t="shared" ref="H35" si="39">IFERROR(G35/D35*100,0)</f>
        <v>52.106727415680496</v>
      </c>
      <c r="I35" s="70">
        <f t="shared" ref="I35" si="40">IFERROR(G35/E35*100,0)</f>
        <v>90.509645309976221</v>
      </c>
      <c r="J35" s="71">
        <f>J37+J36</f>
        <v>0</v>
      </c>
      <c r="K35" s="71">
        <f t="shared" ref="K35" si="41">K37+K36</f>
        <v>0</v>
      </c>
      <c r="L35" s="71">
        <f t="shared" ref="L35" si="42">L37+L36</f>
        <v>0</v>
      </c>
      <c r="M35" s="71">
        <f t="shared" ref="M35" si="43">M37+M36</f>
        <v>0</v>
      </c>
      <c r="N35" s="71">
        <f t="shared" ref="N35" si="44">N37+N36</f>
        <v>0</v>
      </c>
      <c r="O35" s="71">
        <f t="shared" ref="O35" si="45">O37+O36</f>
        <v>0</v>
      </c>
      <c r="P35" s="71">
        <f t="shared" ref="P35" si="46">P37+P36</f>
        <v>0</v>
      </c>
      <c r="Q35" s="71">
        <f t="shared" ref="Q35" si="47">Q37+Q36</f>
        <v>0</v>
      </c>
      <c r="R35" s="71">
        <f t="shared" ref="R35" si="48">R37+R36</f>
        <v>0</v>
      </c>
      <c r="S35" s="71">
        <f t="shared" ref="S35" si="49">S37+S36</f>
        <v>0</v>
      </c>
      <c r="T35" s="71">
        <f t="shared" ref="T35" si="50">T37+T36</f>
        <v>47833</v>
      </c>
      <c r="U35" s="71">
        <f t="shared" ref="U35" si="51">U37+U36</f>
        <v>47833</v>
      </c>
      <c r="V35" s="71">
        <f t="shared" ref="V35" si="52">V37+V36</f>
        <v>3000</v>
      </c>
      <c r="W35" s="71">
        <f t="shared" ref="W35" si="53">W37+W36</f>
        <v>3000</v>
      </c>
      <c r="X35" s="71">
        <f t="shared" ref="X35" si="54">X37+X36</f>
        <v>6280.25</v>
      </c>
      <c r="Y35" s="71">
        <f t="shared" ref="Y35" si="55">Y37+Y36</f>
        <v>860</v>
      </c>
      <c r="Z35" s="71">
        <f t="shared" ref="Z35" si="56">Z37+Z36</f>
        <v>0</v>
      </c>
      <c r="AA35" s="71">
        <f t="shared" ref="AA35" si="57">AA37+AA36</f>
        <v>0</v>
      </c>
      <c r="AB35" s="71">
        <f t="shared" ref="AB35" si="58">AB37+AB36</f>
        <v>180</v>
      </c>
      <c r="AC35" s="71">
        <f t="shared" ref="AC35" si="59">AC37+AC36</f>
        <v>0</v>
      </c>
      <c r="AD35" s="71">
        <f t="shared" ref="AD35" si="60">AD37+AD36</f>
        <v>41912.75</v>
      </c>
      <c r="AE35" s="71">
        <f t="shared" ref="AE35" si="61">AE37+AE36</f>
        <v>0</v>
      </c>
      <c r="AF35" s="71">
        <f t="shared" ref="AF35" si="62">AF37+AF36</f>
        <v>0</v>
      </c>
      <c r="AG35" s="71">
        <f t="shared" ref="AG35" si="63">AG37+AG36</f>
        <v>0</v>
      </c>
      <c r="AH35" s="60"/>
      <c r="AI35" s="20"/>
    </row>
    <row r="36" spans="1:35" s="22" customFormat="1" ht="48.75" hidden="1" customHeight="1" x14ac:dyDescent="0.25">
      <c r="A36" s="560"/>
      <c r="B36" s="576"/>
      <c r="C36" s="429" t="s">
        <v>22</v>
      </c>
      <c r="D36" s="74">
        <f>SUM(J36,L36,N36,P36,R36,T36,V36,X36,Z36,AB36,AD36,AF36)</f>
        <v>0</v>
      </c>
      <c r="E36" s="74">
        <f>J36</f>
        <v>0</v>
      </c>
      <c r="F36" s="74">
        <f>G36</f>
        <v>0</v>
      </c>
      <c r="G36" s="74">
        <f>SUM(K36,M36,O36,Q36,S36,U36,W36,Y36,AA36,AC36,AE36,AG36)</f>
        <v>0</v>
      </c>
      <c r="H36" s="74">
        <f>IFERROR(G36/D36*100,0)</f>
        <v>0</v>
      </c>
      <c r="I36" s="74">
        <f>IFERROR(G36/E36*100,0)</f>
        <v>0</v>
      </c>
      <c r="J36" s="67">
        <v>0</v>
      </c>
      <c r="K36" s="67">
        <v>0</v>
      </c>
      <c r="L36" s="67">
        <v>0</v>
      </c>
      <c r="M36" s="67">
        <v>0</v>
      </c>
      <c r="N36" s="67">
        <v>0</v>
      </c>
      <c r="O36" s="67">
        <v>0</v>
      </c>
      <c r="P36" s="67">
        <v>0</v>
      </c>
      <c r="Q36" s="67">
        <v>0</v>
      </c>
      <c r="R36" s="67">
        <v>0</v>
      </c>
      <c r="S36" s="67">
        <v>0</v>
      </c>
      <c r="T36" s="67">
        <v>0</v>
      </c>
      <c r="U36" s="67">
        <v>0</v>
      </c>
      <c r="V36" s="67">
        <v>0</v>
      </c>
      <c r="W36" s="67">
        <v>0</v>
      </c>
      <c r="X36" s="67">
        <v>0</v>
      </c>
      <c r="Y36" s="67">
        <v>0</v>
      </c>
      <c r="Z36" s="67">
        <v>0</v>
      </c>
      <c r="AA36" s="67">
        <v>0</v>
      </c>
      <c r="AB36" s="67">
        <v>0</v>
      </c>
      <c r="AC36" s="67">
        <v>0</v>
      </c>
      <c r="AD36" s="67">
        <v>0</v>
      </c>
      <c r="AE36" s="67">
        <v>0</v>
      </c>
      <c r="AF36" s="67">
        <v>0</v>
      </c>
      <c r="AG36" s="67">
        <v>0</v>
      </c>
      <c r="AH36" s="60"/>
      <c r="AI36" s="20"/>
    </row>
    <row r="37" spans="1:35" s="22" customFormat="1" ht="48.75" customHeight="1" x14ac:dyDescent="0.25">
      <c r="A37" s="567"/>
      <c r="B37" s="576"/>
      <c r="C37" s="429" t="s">
        <v>21</v>
      </c>
      <c r="D37" s="74">
        <f>SUM(J37,L37,N37,P37,R37,T37,V37,X37,Z37,AB37,AD37,AF37)</f>
        <v>99206</v>
      </c>
      <c r="E37" s="74">
        <f>J37+L37+N37+P37+R37+T37+V37+X37</f>
        <v>57113.25</v>
      </c>
      <c r="F37" s="74">
        <f>G37</f>
        <v>51693</v>
      </c>
      <c r="G37" s="74">
        <f>SUM(K37,M37,O37,Q37,S37,U37,W37,Y37,AA37,AC37,AE37,AG37)</f>
        <v>51693</v>
      </c>
      <c r="H37" s="74">
        <f>IFERROR(G37/D37*100,0)</f>
        <v>52.106727415680496</v>
      </c>
      <c r="I37" s="74">
        <f>IFERROR(G37/E37*100,0)</f>
        <v>90.509645309976221</v>
      </c>
      <c r="J37" s="67">
        <v>0</v>
      </c>
      <c r="K37" s="67">
        <v>0</v>
      </c>
      <c r="L37" s="67">
        <v>0</v>
      </c>
      <c r="M37" s="67">
        <v>0</v>
      </c>
      <c r="N37" s="67">
        <v>0</v>
      </c>
      <c r="O37" s="67">
        <v>0</v>
      </c>
      <c r="P37" s="67">
        <v>0</v>
      </c>
      <c r="Q37" s="67">
        <v>0</v>
      </c>
      <c r="R37" s="67">
        <v>0</v>
      </c>
      <c r="S37" s="67">
        <v>0</v>
      </c>
      <c r="T37" s="67">
        <v>47833</v>
      </c>
      <c r="U37" s="67">
        <v>47833</v>
      </c>
      <c r="V37" s="67">
        <v>3000</v>
      </c>
      <c r="W37" s="67">
        <v>3000</v>
      </c>
      <c r="X37" s="67">
        <v>6280.25</v>
      </c>
      <c r="Y37" s="67">
        <v>860</v>
      </c>
      <c r="Z37" s="67">
        <v>0</v>
      </c>
      <c r="AA37" s="67">
        <v>0</v>
      </c>
      <c r="AB37" s="67">
        <v>180</v>
      </c>
      <c r="AC37" s="67">
        <v>0</v>
      </c>
      <c r="AD37" s="67">
        <v>41912.75</v>
      </c>
      <c r="AE37" s="67">
        <v>0</v>
      </c>
      <c r="AF37" s="67">
        <v>0</v>
      </c>
      <c r="AG37" s="67">
        <v>0</v>
      </c>
      <c r="AH37" s="60"/>
      <c r="AI37" s="20"/>
    </row>
    <row r="38" spans="1:35" s="22" customFormat="1" ht="48.75" customHeight="1" x14ac:dyDescent="0.25">
      <c r="A38" s="665" t="s">
        <v>101</v>
      </c>
      <c r="B38" s="575" t="s">
        <v>95</v>
      </c>
      <c r="C38" s="69" t="s">
        <v>20</v>
      </c>
      <c r="D38" s="70">
        <f>D40+D39</f>
        <v>314641.48600000003</v>
      </c>
      <c r="E38" s="70">
        <f t="shared" ref="E38" si="64">E40+E39</f>
        <v>177327.39499999999</v>
      </c>
      <c r="F38" s="70">
        <f t="shared" ref="F38" si="65">F40+F39</f>
        <v>155778.065</v>
      </c>
      <c r="G38" s="70">
        <f t="shared" ref="G38" si="66">G40+G39</f>
        <v>155778.065</v>
      </c>
      <c r="H38" s="70">
        <f t="shared" ref="H38" si="67">IFERROR(G38/D38*100,0)</f>
        <v>49.509702925824598</v>
      </c>
      <c r="I38" s="70">
        <f t="shared" ref="I38" si="68">IFERROR(G38/E38*100,0)</f>
        <v>87.847715238810125</v>
      </c>
      <c r="J38" s="71">
        <f>J40+J39</f>
        <v>0</v>
      </c>
      <c r="K38" s="71">
        <f t="shared" ref="K38" si="69">K40+K39</f>
        <v>0</v>
      </c>
      <c r="L38" s="71">
        <f t="shared" ref="L38" si="70">L40+L39</f>
        <v>599.76300000000003</v>
      </c>
      <c r="M38" s="71">
        <f t="shared" ref="M38" si="71">M40+M39</f>
        <v>599.76300000000003</v>
      </c>
      <c r="N38" s="71">
        <f t="shared" ref="N38" si="72">N40+N39</f>
        <v>286.67599999999999</v>
      </c>
      <c r="O38" s="71">
        <f t="shared" ref="O38" si="73">O40+O39</f>
        <v>286.67599999999999</v>
      </c>
      <c r="P38" s="71">
        <f t="shared" ref="P38" si="74">P40+P39</f>
        <v>0</v>
      </c>
      <c r="Q38" s="71">
        <f t="shared" ref="Q38" si="75">Q40+Q39</f>
        <v>0</v>
      </c>
      <c r="R38" s="71">
        <f t="shared" ref="R38" si="76">R40+R39</f>
        <v>20990.68</v>
      </c>
      <c r="S38" s="71">
        <f t="shared" ref="S38" si="77">S40+S39</f>
        <v>20990.685000000001</v>
      </c>
      <c r="T38" s="71">
        <f t="shared" ref="T38" si="78">T40+T39</f>
        <v>83800.691000000006</v>
      </c>
      <c r="U38" s="71">
        <f t="shared" ref="U38" si="79">U40+U39</f>
        <v>83800.69</v>
      </c>
      <c r="V38" s="71">
        <f t="shared" ref="V38" si="80">V40+V39</f>
        <v>29109.9</v>
      </c>
      <c r="W38" s="71">
        <f t="shared" ref="W38" si="81">W40+W39</f>
        <v>21549.005000000001</v>
      </c>
      <c r="X38" s="71">
        <f t="shared" ref="X38" si="82">X40+X39</f>
        <v>42539.684999999998</v>
      </c>
      <c r="Y38" s="71">
        <f t="shared" ref="Y38" si="83">Y40+Y39</f>
        <v>28551.245999999999</v>
      </c>
      <c r="Z38" s="71">
        <f t="shared" ref="Z38" si="84">Z40+Z39</f>
        <v>68258.960999999996</v>
      </c>
      <c r="AA38" s="71">
        <f t="shared" ref="AA38" si="85">AA40+AA39</f>
        <v>0</v>
      </c>
      <c r="AB38" s="71">
        <f t="shared" ref="AB38" si="86">AB40+AB39</f>
        <v>68666.23000000001</v>
      </c>
      <c r="AC38" s="71">
        <f t="shared" ref="AC38" si="87">AC40+AC39</f>
        <v>0</v>
      </c>
      <c r="AD38" s="71">
        <f t="shared" ref="AD38" si="88">AD40+AD39</f>
        <v>388.9</v>
      </c>
      <c r="AE38" s="71">
        <f t="shared" ref="AE38" si="89">AE40+AE39</f>
        <v>0</v>
      </c>
      <c r="AF38" s="71">
        <f t="shared" ref="AF38" si="90">AF40+AF39</f>
        <v>0</v>
      </c>
      <c r="AG38" s="71">
        <f t="shared" ref="AG38" si="91">AG40+AG39</f>
        <v>0</v>
      </c>
      <c r="AH38" s="60"/>
      <c r="AI38" s="20"/>
    </row>
    <row r="39" spans="1:35" s="22" customFormat="1" ht="54.75" customHeight="1" x14ac:dyDescent="0.25">
      <c r="A39" s="560"/>
      <c r="B39" s="576"/>
      <c r="C39" s="429" t="s">
        <v>22</v>
      </c>
      <c r="D39" s="74">
        <f>SUM(J39,L39,N39,P39,R39,T39,V39,X39,Z39,AB39,AD39,AF39)</f>
        <v>26873.4</v>
      </c>
      <c r="E39" s="74">
        <f>J39+L39+N39+P39+R39+T39+V39+X39</f>
        <v>0</v>
      </c>
      <c r="F39" s="74">
        <f>G39</f>
        <v>0</v>
      </c>
      <c r="G39" s="74">
        <f>SUM(K39,M39,O39,Q39,S39,U39,W39,Y39,AA39,AC39,AE39,AG39)</f>
        <v>0</v>
      </c>
      <c r="H39" s="74">
        <f>IFERROR(G39/D39*100,0)</f>
        <v>0</v>
      </c>
      <c r="I39" s="74">
        <f>IFERROR(G39/E39*100,0)</f>
        <v>0</v>
      </c>
      <c r="J39" s="67">
        <v>0</v>
      </c>
      <c r="K39" s="67">
        <v>0</v>
      </c>
      <c r="L39" s="67">
        <v>0</v>
      </c>
      <c r="M39" s="67">
        <v>0</v>
      </c>
      <c r="N39" s="67">
        <v>0</v>
      </c>
      <c r="O39" s="67">
        <v>0</v>
      </c>
      <c r="P39" s="67">
        <v>0</v>
      </c>
      <c r="Q39" s="67">
        <v>0</v>
      </c>
      <c r="R39" s="67">
        <v>0</v>
      </c>
      <c r="S39" s="67">
        <v>0</v>
      </c>
      <c r="T39" s="67">
        <v>0</v>
      </c>
      <c r="U39" s="67">
        <v>0</v>
      </c>
      <c r="V39" s="67">
        <v>0</v>
      </c>
      <c r="W39" s="67">
        <v>0</v>
      </c>
      <c r="X39" s="67">
        <v>0</v>
      </c>
      <c r="Y39" s="67">
        <v>0</v>
      </c>
      <c r="Z39" s="67">
        <v>0</v>
      </c>
      <c r="AA39" s="67">
        <v>0</v>
      </c>
      <c r="AB39" s="67">
        <v>26873.4</v>
      </c>
      <c r="AC39" s="67">
        <v>0</v>
      </c>
      <c r="AD39" s="67">
        <v>0</v>
      </c>
      <c r="AE39" s="67">
        <v>0</v>
      </c>
      <c r="AF39" s="67">
        <v>0</v>
      </c>
      <c r="AG39" s="67">
        <v>0</v>
      </c>
      <c r="AH39" s="60"/>
      <c r="AI39" s="20"/>
    </row>
    <row r="40" spans="1:35" s="22" customFormat="1" ht="48.75" customHeight="1" x14ac:dyDescent="0.25">
      <c r="A40" s="567"/>
      <c r="B40" s="576"/>
      <c r="C40" s="429" t="s">
        <v>21</v>
      </c>
      <c r="D40" s="74">
        <f>SUM(J40,L40,N40,P40,R40,T40,V40,X40,Z40,AB40,AD40,AF40)</f>
        <v>287768.08600000001</v>
      </c>
      <c r="E40" s="74">
        <f>J40+L40+N40+P40+R40+T40+V40+X40</f>
        <v>177327.39499999999</v>
      </c>
      <c r="F40" s="74">
        <f>G40</f>
        <v>155778.065</v>
      </c>
      <c r="G40" s="74">
        <f>SUM(K40,M40,O40,Q40,S40,U40,W40,Y40,AA40,AC40,AE40,AG40)</f>
        <v>155778.065</v>
      </c>
      <c r="H40" s="74">
        <f>IFERROR(G40/D40*100,0)</f>
        <v>54.133197035615687</v>
      </c>
      <c r="I40" s="74">
        <f>IFERROR(G40/E40*100,0)</f>
        <v>87.847715238810125</v>
      </c>
      <c r="J40" s="67">
        <v>0</v>
      </c>
      <c r="K40" s="67">
        <v>0</v>
      </c>
      <c r="L40" s="67">
        <v>599.76300000000003</v>
      </c>
      <c r="M40" s="67">
        <v>599.76300000000003</v>
      </c>
      <c r="N40" s="67">
        <v>286.67599999999999</v>
      </c>
      <c r="O40" s="67">
        <v>286.67599999999999</v>
      </c>
      <c r="P40" s="67">
        <v>0</v>
      </c>
      <c r="Q40" s="67">
        <v>0</v>
      </c>
      <c r="R40" s="67">
        <v>20990.68</v>
      </c>
      <c r="S40" s="67">
        <v>20990.685000000001</v>
      </c>
      <c r="T40" s="67">
        <v>83800.691000000006</v>
      </c>
      <c r="U40" s="67">
        <v>83800.69</v>
      </c>
      <c r="V40" s="67">
        <v>29109.9</v>
      </c>
      <c r="W40" s="67">
        <v>21549.005000000001</v>
      </c>
      <c r="X40" s="67">
        <v>42539.684999999998</v>
      </c>
      <c r="Y40" s="67">
        <v>28551.245999999999</v>
      </c>
      <c r="Z40" s="67">
        <v>68258.960999999996</v>
      </c>
      <c r="AA40" s="67">
        <v>0</v>
      </c>
      <c r="AB40" s="67">
        <v>41792.83</v>
      </c>
      <c r="AC40" s="67">
        <v>0</v>
      </c>
      <c r="AD40" s="67">
        <v>388.9</v>
      </c>
      <c r="AE40" s="67">
        <v>0</v>
      </c>
      <c r="AF40" s="67">
        <v>0</v>
      </c>
      <c r="AG40" s="67">
        <v>0</v>
      </c>
      <c r="AH40" s="60"/>
      <c r="AI40" s="20"/>
    </row>
    <row r="41" spans="1:35" s="22" customFormat="1" ht="25.5" customHeight="1" x14ac:dyDescent="0.25">
      <c r="A41" s="115"/>
      <c r="B41" s="596" t="s">
        <v>88</v>
      </c>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8"/>
      <c r="AH41" s="48"/>
      <c r="AI41" s="20"/>
    </row>
    <row r="42" spans="1:35" s="22" customFormat="1" ht="44.25" customHeight="1" x14ac:dyDescent="0.25">
      <c r="A42" s="545" t="s">
        <v>63</v>
      </c>
      <c r="B42" s="533" t="s">
        <v>96</v>
      </c>
      <c r="C42" s="69" t="s">
        <v>20</v>
      </c>
      <c r="D42" s="70">
        <f>SUM(J42,L42,N42,P42,R42,T42,V42,X42,Z42,AB42,AD42,AF42)</f>
        <v>6422.5810000000001</v>
      </c>
      <c r="E42" s="70">
        <f>E43+E44</f>
        <v>3871.047</v>
      </c>
      <c r="F42" s="70">
        <f>F43+F44</f>
        <v>3807.4820000000004</v>
      </c>
      <c r="G42" s="70">
        <f>G43+G44</f>
        <v>3807.4820000000004</v>
      </c>
      <c r="H42" s="70">
        <f t="shared" si="12"/>
        <v>59.282740069763243</v>
      </c>
      <c r="I42" s="70">
        <f t="shared" si="13"/>
        <v>98.357937787890464</v>
      </c>
      <c r="J42" s="71">
        <f>J43+J44</f>
        <v>299.541</v>
      </c>
      <c r="K42" s="71">
        <f t="shared" ref="K42:AG42" si="92">K43+K44</f>
        <v>288.42899999999997</v>
      </c>
      <c r="L42" s="71">
        <f t="shared" si="92"/>
        <v>854.96</v>
      </c>
      <c r="M42" s="71">
        <f t="shared" si="92"/>
        <v>433.97899999999998</v>
      </c>
      <c r="N42" s="71">
        <f t="shared" si="92"/>
        <v>436.34500000000003</v>
      </c>
      <c r="O42" s="71">
        <f t="shared" si="92"/>
        <v>421.34300000000002</v>
      </c>
      <c r="P42" s="71">
        <f t="shared" si="92"/>
        <v>556.76</v>
      </c>
      <c r="Q42" s="71">
        <f t="shared" si="92"/>
        <v>425.43</v>
      </c>
      <c r="R42" s="71">
        <f t="shared" si="92"/>
        <v>430.86099999999999</v>
      </c>
      <c r="S42" s="71">
        <f t="shared" si="92"/>
        <v>420.86</v>
      </c>
      <c r="T42" s="71">
        <f t="shared" si="92"/>
        <v>430.86</v>
      </c>
      <c r="U42" s="71">
        <f t="shared" si="92"/>
        <v>421.08699999999999</v>
      </c>
      <c r="V42" s="71">
        <f t="shared" si="92"/>
        <v>430.86</v>
      </c>
      <c r="W42" s="71">
        <f t="shared" si="92"/>
        <v>422.84899999999999</v>
      </c>
      <c r="X42" s="71">
        <f t="shared" si="92"/>
        <v>430.86</v>
      </c>
      <c r="Y42" s="71">
        <f t="shared" si="92"/>
        <v>973.505</v>
      </c>
      <c r="Z42" s="71">
        <f t="shared" si="92"/>
        <v>430.86099999999999</v>
      </c>
      <c r="AA42" s="71">
        <f t="shared" si="92"/>
        <v>0</v>
      </c>
      <c r="AB42" s="71">
        <f t="shared" si="92"/>
        <v>430.86</v>
      </c>
      <c r="AC42" s="71">
        <f t="shared" si="92"/>
        <v>0</v>
      </c>
      <c r="AD42" s="71">
        <f t="shared" si="92"/>
        <v>1213.376</v>
      </c>
      <c r="AE42" s="71">
        <f t="shared" si="92"/>
        <v>0</v>
      </c>
      <c r="AF42" s="71">
        <f t="shared" si="92"/>
        <v>476.43700000000001</v>
      </c>
      <c r="AG42" s="71">
        <f t="shared" si="92"/>
        <v>0</v>
      </c>
      <c r="AH42" s="60"/>
      <c r="AI42" s="20"/>
    </row>
    <row r="43" spans="1:35" s="22" customFormat="1" ht="49.5" hidden="1" customHeight="1" x14ac:dyDescent="0.25">
      <c r="A43" s="546"/>
      <c r="B43" s="534"/>
      <c r="C43" s="429" t="s">
        <v>52</v>
      </c>
      <c r="D43" s="74">
        <f>SUM(J43,L43,N43,P43,R43,T43,V43,X43,Z43,AB43,AD43,AF43)</f>
        <v>0</v>
      </c>
      <c r="E43" s="74">
        <f>J43</f>
        <v>0</v>
      </c>
      <c r="F43" s="74">
        <f>G43</f>
        <v>0</v>
      </c>
      <c r="G43" s="74">
        <f>SUM(K43,M43,O43,Q43,S43,U43,W43,Y43,AA43,AC43,AE43,AG43)</f>
        <v>0</v>
      </c>
      <c r="H43" s="74">
        <f t="shared" si="12"/>
        <v>0</v>
      </c>
      <c r="I43" s="74">
        <f t="shared" si="13"/>
        <v>0</v>
      </c>
      <c r="J43" s="67">
        <v>0</v>
      </c>
      <c r="K43" s="67">
        <v>0</v>
      </c>
      <c r="L43" s="67">
        <v>0</v>
      </c>
      <c r="M43" s="67">
        <v>0</v>
      </c>
      <c r="N43" s="67">
        <v>0</v>
      </c>
      <c r="O43" s="67">
        <v>0</v>
      </c>
      <c r="P43" s="67">
        <v>0</v>
      </c>
      <c r="Q43" s="67">
        <v>0</v>
      </c>
      <c r="R43" s="67">
        <v>0</v>
      </c>
      <c r="S43" s="67">
        <v>0</v>
      </c>
      <c r="T43" s="67">
        <v>0</v>
      </c>
      <c r="U43" s="67">
        <v>0</v>
      </c>
      <c r="V43" s="67">
        <v>0</v>
      </c>
      <c r="W43" s="67">
        <v>0</v>
      </c>
      <c r="X43" s="67">
        <v>0</v>
      </c>
      <c r="Y43" s="67">
        <v>0</v>
      </c>
      <c r="Z43" s="67">
        <v>0</v>
      </c>
      <c r="AA43" s="67">
        <v>0</v>
      </c>
      <c r="AB43" s="67">
        <v>0</v>
      </c>
      <c r="AC43" s="67">
        <v>0</v>
      </c>
      <c r="AD43" s="67">
        <v>0</v>
      </c>
      <c r="AE43" s="67">
        <v>0</v>
      </c>
      <c r="AF43" s="67">
        <v>0</v>
      </c>
      <c r="AG43" s="67">
        <v>0</v>
      </c>
      <c r="AH43" s="60"/>
      <c r="AI43" s="20"/>
    </row>
    <row r="44" spans="1:35" s="22" customFormat="1" ht="66.75" customHeight="1" x14ac:dyDescent="0.25">
      <c r="A44" s="594"/>
      <c r="B44" s="535"/>
      <c r="C44" s="429" t="s">
        <v>21</v>
      </c>
      <c r="D44" s="74">
        <f>SUM(J44,L44,N44,P44,R44,T44,V44,X44,Z44,AB44,AD44,AF44)</f>
        <v>6422.5810000000001</v>
      </c>
      <c r="E44" s="74">
        <f>J44+L44+N44+P44+R44+T44+V44+X44</f>
        <v>3871.047</v>
      </c>
      <c r="F44" s="74">
        <f>G44</f>
        <v>3807.4820000000004</v>
      </c>
      <c r="G44" s="74">
        <f>SUM(K44,M44,O44,Q44,S44,U44,W44,Y44,AA44,AC44,AE44,AG44)</f>
        <v>3807.4820000000004</v>
      </c>
      <c r="H44" s="74">
        <f t="shared" si="12"/>
        <v>59.282740069763243</v>
      </c>
      <c r="I44" s="74">
        <f t="shared" si="13"/>
        <v>98.357937787890464</v>
      </c>
      <c r="J44" s="67">
        <v>299.541</v>
      </c>
      <c r="K44" s="67">
        <v>288.42899999999997</v>
      </c>
      <c r="L44" s="67">
        <v>854.96</v>
      </c>
      <c r="M44" s="67">
        <v>433.97899999999998</v>
      </c>
      <c r="N44" s="67">
        <v>436.34500000000003</v>
      </c>
      <c r="O44" s="67">
        <v>421.34300000000002</v>
      </c>
      <c r="P44" s="67">
        <v>556.76</v>
      </c>
      <c r="Q44" s="67">
        <v>425.43</v>
      </c>
      <c r="R44" s="67">
        <v>430.86099999999999</v>
      </c>
      <c r="S44" s="67">
        <v>420.86</v>
      </c>
      <c r="T44" s="67">
        <v>430.86</v>
      </c>
      <c r="U44" s="67">
        <v>421.08699999999999</v>
      </c>
      <c r="V44" s="67">
        <v>430.86</v>
      </c>
      <c r="W44" s="67">
        <v>422.84899999999999</v>
      </c>
      <c r="X44" s="67">
        <v>430.86</v>
      </c>
      <c r="Y44" s="67">
        <v>973.505</v>
      </c>
      <c r="Z44" s="67">
        <v>430.86099999999999</v>
      </c>
      <c r="AA44" s="67">
        <v>0</v>
      </c>
      <c r="AB44" s="67">
        <v>430.86</v>
      </c>
      <c r="AC44" s="67">
        <v>0</v>
      </c>
      <c r="AD44" s="67">
        <v>1213.376</v>
      </c>
      <c r="AE44" s="67">
        <v>0</v>
      </c>
      <c r="AF44" s="67">
        <v>476.43700000000001</v>
      </c>
      <c r="AG44" s="67">
        <v>0</v>
      </c>
      <c r="AH44" s="60"/>
      <c r="AI44" s="20"/>
    </row>
    <row r="45" spans="1:35" x14ac:dyDescent="0.25">
      <c r="B45" s="130"/>
      <c r="C45" s="325"/>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row>
    <row r="46" spans="1:35" x14ac:dyDescent="0.25">
      <c r="B46" s="130"/>
      <c r="C46" s="325"/>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row>
    <row r="47" spans="1:35" x14ac:dyDescent="0.25">
      <c r="B47" s="130"/>
      <c r="C47" s="325"/>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row>
    <row r="48" spans="1:35" x14ac:dyDescent="0.25">
      <c r="B48" s="130"/>
      <c r="C48" s="325"/>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row>
    <row r="49" spans="2:33" x14ac:dyDescent="0.25">
      <c r="B49" s="130"/>
      <c r="C49" s="325"/>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row>
    <row r="50" spans="2:33" x14ac:dyDescent="0.25">
      <c r="B50" s="130"/>
      <c r="C50" s="325"/>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row>
    <row r="51" spans="2:33" x14ac:dyDescent="0.25">
      <c r="B51" s="130"/>
      <c r="C51" s="325"/>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row>
    <row r="52" spans="2:33" x14ac:dyDescent="0.25">
      <c r="B52" s="130"/>
      <c r="C52" s="325"/>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row>
    <row r="53" spans="2:33" x14ac:dyDescent="0.25">
      <c r="B53" s="130"/>
      <c r="C53" s="325"/>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row>
    <row r="54" spans="2:33" x14ac:dyDescent="0.25">
      <c r="B54" s="130"/>
      <c r="C54" s="325"/>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row>
    <row r="55" spans="2:33" x14ac:dyDescent="0.25">
      <c r="B55" s="130"/>
      <c r="C55" s="325"/>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row>
    <row r="56" spans="2:33" x14ac:dyDescent="0.25">
      <c r="B56" s="130"/>
      <c r="C56" s="325"/>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row>
    <row r="57" spans="2:33" x14ac:dyDescent="0.25">
      <c r="B57" s="130"/>
      <c r="C57" s="325"/>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row>
    <row r="58" spans="2:33" x14ac:dyDescent="0.25">
      <c r="B58" s="130"/>
      <c r="C58" s="325"/>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row>
    <row r="59" spans="2:33" x14ac:dyDescent="0.25">
      <c r="B59" s="130"/>
      <c r="C59" s="325"/>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row>
    <row r="60" spans="2:33" x14ac:dyDescent="0.25">
      <c r="B60" s="130"/>
      <c r="C60" s="325"/>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row>
    <row r="61" spans="2:33" x14ac:dyDescent="0.25">
      <c r="B61" s="130"/>
      <c r="C61" s="325"/>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row>
    <row r="62" spans="2:33" x14ac:dyDescent="0.25">
      <c r="B62" s="130"/>
      <c r="C62" s="325"/>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row>
    <row r="63" spans="2:33" x14ac:dyDescent="0.25">
      <c r="B63" s="130"/>
      <c r="C63" s="325"/>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row>
    <row r="64" spans="2:33" x14ac:dyDescent="0.25">
      <c r="B64" s="130"/>
      <c r="C64" s="325"/>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row>
    <row r="65" spans="2:33" x14ac:dyDescent="0.25">
      <c r="B65" s="130"/>
      <c r="C65" s="325"/>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row>
    <row r="66" spans="2:33" x14ac:dyDescent="0.25">
      <c r="B66" s="130"/>
      <c r="C66" s="325"/>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row>
    <row r="67" spans="2:33" x14ac:dyDescent="0.25">
      <c r="B67" s="130"/>
      <c r="C67" s="325"/>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row>
    <row r="68" spans="2:33" x14ac:dyDescent="0.25">
      <c r="B68" s="130"/>
      <c r="C68" s="325"/>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row>
    <row r="69" spans="2:33" x14ac:dyDescent="0.25">
      <c r="B69" s="130"/>
      <c r="C69" s="325"/>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row>
    <row r="70" spans="2:33" x14ac:dyDescent="0.25">
      <c r="B70" s="130"/>
      <c r="C70" s="325"/>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row>
    <row r="71" spans="2:33" x14ac:dyDescent="0.25">
      <c r="B71" s="130"/>
      <c r="C71" s="325"/>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row>
    <row r="72" spans="2:33" x14ac:dyDescent="0.25">
      <c r="B72" s="130"/>
      <c r="C72" s="325"/>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row>
  </sheetData>
  <customSheetViews>
    <customSheetView guid="{133BB3F8-8DD4-4AEF-8CD6-A5FB14681329}" scale="80" hiddenRows="1" state="hidden">
      <pane xSplit="6" ySplit="7" topLeftCell="G10" activePane="bottomRight" state="frozen"/>
      <selection pane="bottomRight" activeCell="F6" sqref="F6"/>
      <pageMargins left="0.7" right="0.7" top="0.75" bottom="0.75" header="0.3" footer="0.3"/>
      <pageSetup paperSize="9" orientation="portrait" r:id="rId1"/>
    </customSheetView>
    <customSheetView guid="{7C5A2A36-3D69-43D9-9018-A52C27EC78F9}" scale="80" hiddenRows="1">
      <pane xSplit="6" ySplit="7" topLeftCell="G10" activePane="bottomRight" state="frozen"/>
      <selection pane="bottomRight" activeCell="L20" sqref="L20"/>
      <pageMargins left="0.7" right="0.7" top="0.75" bottom="0.75" header="0.3" footer="0.3"/>
      <pageSetup paperSize="9" orientation="portrait" r:id="rId2"/>
    </customSheetView>
    <customSheetView guid="{2A5A11D4-90C6-4A3E-8165-7D7BD634B22F}" scale="80" hiddenRows="1">
      <pane xSplit="6" ySplit="7" topLeftCell="G10" activePane="bottomRight" state="frozen"/>
      <selection pane="bottomRight" activeCell="L20" sqref="L20"/>
      <pageMargins left="0.7" right="0.7" top="0.75" bottom="0.75" header="0.3" footer="0.3"/>
      <pageSetup paperSize="9" orientation="portrait" r:id="rId3"/>
    </customSheetView>
    <customSheetView guid="{996EC2F0-F6EC-4E63-A83E-34865157BD8D}" scale="80" hiddenRows="1">
      <pane xSplit="6" ySplit="7" topLeftCell="G10" activePane="bottomRight" state="frozen"/>
      <selection pane="bottomRight" activeCell="L20" sqref="L20"/>
      <pageMargins left="0.7" right="0.7" top="0.75" bottom="0.75" header="0.3" footer="0.3"/>
      <pageSetup paperSize="9" orientation="portrait" r:id="rId4"/>
    </customSheetView>
    <customSheetView guid="{AB9978E4-895D-4050-8F07-2484E22632D1}" scale="80" hiddenRows="1">
      <pane xSplit="6" ySplit="7" topLeftCell="G8" activePane="bottomRight" state="frozen"/>
      <selection pane="bottomRight" activeCell="H8" sqref="H8:I8"/>
      <pageMargins left="0.7" right="0.7" top="0.75" bottom="0.75" header="0.3" footer="0.3"/>
      <pageSetup paperSize="9" orientation="portrait" r:id="rId5"/>
    </customSheetView>
    <customSheetView guid="{21E1D423-7B38-4272-8354-09B4DB62C9EB}" scale="80" hiddenRows="1">
      <pane xSplit="6" ySplit="7" topLeftCell="G8" activePane="bottomRight" state="frozen"/>
      <selection pane="bottomRight" activeCell="G9" sqref="G9"/>
      <pageMargins left="0.7" right="0.7" top="0.75" bottom="0.75" header="0.3" footer="0.3"/>
      <pageSetup paperSize="9" orientation="portrait" r:id="rId6"/>
    </customSheetView>
    <customSheetView guid="{2940A182-D1A7-43C5-8D6E-965BED4371B0}" scale="80" hiddenRows="1">
      <pane xSplit="6" ySplit="7" topLeftCell="G10" activePane="bottomRight" state="frozen"/>
      <selection pane="bottomRight" activeCell="L20" sqref="L20"/>
      <pageMargins left="0.7" right="0.7" top="0.75" bottom="0.75" header="0.3" footer="0.3"/>
      <pageSetup paperSize="9" orientation="portrait" r:id="rId7"/>
    </customSheetView>
    <customSheetView guid="{A0E2FBF6-E560-4343-8BE6-217DC798135B}" scale="80" hiddenRows="1">
      <pane xSplit="6" ySplit="7" topLeftCell="G10" activePane="bottomRight" state="frozen"/>
      <selection pane="bottomRight" activeCell="L20" sqref="L20"/>
      <pageMargins left="0.7" right="0.7" top="0.75" bottom="0.75" header="0.3" footer="0.3"/>
      <pageSetup paperSize="9" orientation="portrait" r:id="rId8"/>
    </customSheetView>
    <customSheetView guid="{BBF6B43F-E0FC-43DF-B91C-674F6AB4B556}" scale="80" hiddenRows="1">
      <pane xSplit="6" ySplit="7" topLeftCell="G8" activePane="bottomRight" state="frozen"/>
      <selection pane="bottomRight" activeCell="H8" sqref="H8:I8"/>
      <pageMargins left="0.7" right="0.7" top="0.75" bottom="0.75" header="0.3" footer="0.3"/>
      <pageSetup paperSize="9" orientation="portrait" r:id="rId9"/>
    </customSheetView>
    <customSheetView guid="{C68436F4-AFB3-4D1D-A7C4-56D0C677D68E}" scale="80" hiddenRows="1">
      <pane xSplit="6" ySplit="7" topLeftCell="G10" activePane="bottomRight" state="frozen"/>
      <selection pane="bottomRight" activeCell="L20" sqref="L20"/>
      <pageMargins left="0.7" right="0.7" top="0.75" bottom="0.75" header="0.3" footer="0.3"/>
      <pageSetup paperSize="9" orientation="portrait" r:id="rId10"/>
    </customSheetView>
    <customSheetView guid="{DAEDC989-02E7-4319-8354-59410ACF3F1F}" scale="80" hiddenRows="1">
      <pane xSplit="6" ySplit="7" topLeftCell="G10" activePane="bottomRight" state="frozen"/>
      <selection pane="bottomRight" activeCell="L20" sqref="L20"/>
      <pageMargins left="0.7" right="0.7" top="0.75" bottom="0.75" header="0.3" footer="0.3"/>
      <pageSetup paperSize="9" orientation="portrait" r:id="rId11"/>
    </customSheetView>
    <customSheetView guid="{519948E4-0B24-465F-9D9E-44BE50D1D647}" scale="80" hiddenRows="1">
      <pane xSplit="6" ySplit="7" topLeftCell="G10" activePane="bottomRight" state="frozen"/>
      <selection pane="bottomRight" activeCell="L20" sqref="L20"/>
      <pageMargins left="0.7" right="0.7" top="0.75" bottom="0.75" header="0.3" footer="0.3"/>
      <pageSetup paperSize="9" orientation="portrait" r:id="rId12"/>
    </customSheetView>
    <customSheetView guid="{C7DC638A-7F60-46C9-A1FB-9ADEAE87F332}" scale="80" hiddenRows="1">
      <pane xSplit="6" ySplit="7" topLeftCell="G10" activePane="bottomRight" state="frozen"/>
      <selection pane="bottomRight" activeCell="L20" sqref="L20"/>
      <pageMargins left="0.7" right="0.7" top="0.75" bottom="0.75" header="0.3" footer="0.3"/>
      <pageSetup paperSize="9" orientation="portrait" r:id="rId13"/>
    </customSheetView>
    <customSheetView guid="{C01DC081-B312-4391-B775-A8CE76216D71}" scale="80" hiddenRows="1">
      <pane xSplit="6" ySplit="7" topLeftCell="G8" activePane="bottomRight" state="frozen"/>
      <selection pane="bottomRight" activeCell="H8" sqref="H8:I8"/>
      <pageMargins left="0.7" right="0.7" top="0.75" bottom="0.75" header="0.3" footer="0.3"/>
      <pageSetup paperSize="9" orientation="portrait" r:id="rId14"/>
    </customSheetView>
    <customSheetView guid="{562453CE-35F5-40A3-AD14-6399D1197C99}" scale="80" hiddenRows="1">
      <pane xSplit="6" ySplit="7" topLeftCell="G10" activePane="bottomRight" state="frozen"/>
      <selection pane="bottomRight" activeCell="L20" sqref="L20"/>
      <pageMargins left="0.7" right="0.7" top="0.75" bottom="0.75" header="0.3" footer="0.3"/>
      <pageSetup paperSize="9" orientation="portrait" r:id="rId15"/>
    </customSheetView>
    <customSheetView guid="{A7640BE7-6438-4196-9A67-AF5B992A1E70}" scale="80" hiddenRows="1">
      <pane xSplit="6" ySplit="7" topLeftCell="G8" activePane="bottomRight" state="frozen"/>
      <selection pane="bottomRight" activeCell="H8" sqref="H8:I8"/>
      <pageMargins left="0.7" right="0.7" top="0.75" bottom="0.75" header="0.3" footer="0.3"/>
      <pageSetup paperSize="9" orientation="portrait" r:id="rId16"/>
    </customSheetView>
    <customSheetView guid="{30B635D9-57DB-47D5-8A0F-4B30DD769960}" scale="80" hiddenRows="1">
      <pane xSplit="6" ySplit="7" topLeftCell="G8" activePane="bottomRight" state="frozen"/>
      <selection pane="bottomRight" activeCell="H8" sqref="H8:I8"/>
      <pageMargins left="0.7" right="0.7" top="0.75" bottom="0.75" header="0.3" footer="0.3"/>
      <pageSetup paperSize="9" orientation="portrait" r:id="rId17"/>
    </customSheetView>
    <customSheetView guid="{20A05A62-CBE8-4538-BBC3-2AD9D3B8FAC0}" scale="80" hiddenRows="1">
      <pane xSplit="6" ySplit="7" topLeftCell="G10" activePane="bottomRight" state="frozen"/>
      <selection pane="bottomRight" activeCell="L20" sqref="L20"/>
      <pageMargins left="0.7" right="0.7" top="0.75" bottom="0.75" header="0.3" footer="0.3"/>
      <pageSetup paperSize="9" orientation="portrait" r:id="rId18"/>
    </customSheetView>
    <customSheetView guid="{C282AA4E-1BB5-4296-9AC6-844C0F88E5FC}" scale="80" hiddenRows="1">
      <pane xSplit="6" ySplit="7" topLeftCell="G10" activePane="bottomRight" state="frozen"/>
      <selection pane="bottomRight" activeCell="L20" sqref="L20"/>
      <pageMargins left="0.7" right="0.7" top="0.75" bottom="0.75" header="0.3" footer="0.3"/>
      <pageSetup paperSize="9" orientation="portrait" r:id="rId19"/>
    </customSheetView>
    <customSheetView guid="{4E221C17-6DAB-4FFA-B18C-35D4D85AF6E8}" scale="80" hiddenRows="1">
      <pane xSplit="6" ySplit="7" topLeftCell="G8" activePane="bottomRight" state="frozen"/>
      <selection pane="bottomRight" activeCell="H8" sqref="H8:I8"/>
      <pageMargins left="0.7" right="0.7" top="0.75" bottom="0.75" header="0.3" footer="0.3"/>
      <pageSetup paperSize="9" orientation="portrait" r:id="rId20"/>
    </customSheetView>
    <customSheetView guid="{AFADB96A-0516-43C1-9F1B-0604F3CAC04A}" scale="80" hiddenRows="1">
      <pane xSplit="6" ySplit="7" topLeftCell="G10" activePane="bottomRight" state="frozen"/>
      <selection pane="bottomRight" activeCell="L20" sqref="L20"/>
      <pageMargins left="0.7" right="0.7" top="0.75" bottom="0.75" header="0.3" footer="0.3"/>
      <pageSetup paperSize="9" orientation="portrait" r:id="rId21"/>
    </customSheetView>
    <customSheetView guid="{F528EF6A-C113-49B5-B25F-D660F898CBFB}" scale="80" hiddenRows="1">
      <pane xSplit="6" ySplit="7" topLeftCell="G10" activePane="bottomRight" state="frozen"/>
      <selection pane="bottomRight" activeCell="L20" sqref="L20"/>
      <pageMargins left="0.7" right="0.7" top="0.75" bottom="0.75" header="0.3" footer="0.3"/>
      <pageSetup paperSize="9" orientation="portrait" r:id="rId22"/>
    </customSheetView>
    <customSheetView guid="{B6B60ED6-A6CC-4DA7-A8CA-5E6DB52D5A87}" scale="80" hiddenRows="1">
      <pane xSplit="6" ySplit="7" topLeftCell="G10" activePane="bottomRight" state="frozen"/>
      <selection pane="bottomRight" activeCell="L20" sqref="L20"/>
      <pageMargins left="0.7" right="0.7" top="0.75" bottom="0.75" header="0.3" footer="0.3"/>
      <pageSetup paperSize="9" orientation="portrait" r:id="rId23"/>
    </customSheetView>
    <customSheetView guid="{A4AF2100-C59D-4F60-9EAB-56D9103463F7}" scale="80" hiddenRows="1">
      <pane xSplit="6" ySplit="7" topLeftCell="G10" activePane="bottomRight" state="frozen"/>
      <selection pane="bottomRight" activeCell="L20" sqref="L20"/>
      <pageMargins left="0.7" right="0.7" top="0.75" bottom="0.75" header="0.3" footer="0.3"/>
      <pageSetup paperSize="9" orientation="portrait" r:id="rId24"/>
    </customSheetView>
    <customSheetView guid="{EA46B61D-849C-4795-A4FF-F8F1740022EB}" scale="80" hiddenRows="1">
      <pane xSplit="6" ySplit="7" topLeftCell="G10" activePane="bottomRight" state="frozen"/>
      <selection pane="bottomRight" activeCell="L20" sqref="L20"/>
      <pageMargins left="0.7" right="0.7" top="0.75" bottom="0.75" header="0.3" footer="0.3"/>
      <pageSetup paperSize="9" orientation="portrait" r:id="rId25"/>
    </customSheetView>
    <customSheetView guid="{B686A221-D885-4536-BEAC-E7F4BBC02150}" scale="80" hiddenRows="1">
      <pane xSplit="6" ySplit="7" topLeftCell="G10" activePane="bottomRight" state="frozen"/>
      <selection pane="bottomRight" activeCell="L20" sqref="L20"/>
      <pageMargins left="0.7" right="0.7" top="0.75" bottom="0.75" header="0.3" footer="0.3"/>
      <pageSetup paperSize="9" orientation="portrait" r:id="rId26"/>
    </customSheetView>
    <customSheetView guid="{60A1F930-4BEC-460A-8E14-01E47F6DD055}" scale="80" hiddenRows="1">
      <pane xSplit="6" ySplit="4" topLeftCell="G10" activePane="bottomRight" state="frozen"/>
      <selection pane="bottomRight" activeCell="L20" sqref="L20"/>
      <pageMargins left="0.7" right="0.7" top="0.75" bottom="0.75" header="0.3" footer="0.3"/>
      <pageSetup paperSize="9" orientation="portrait" r:id="rId27"/>
    </customSheetView>
    <customSheetView guid="{5DF2C78B-5EE4-439D-8D72-8D3A913B65F9}" scale="80" hiddenRows="1">
      <pane xSplit="6" ySplit="7" topLeftCell="G10" activePane="bottomRight" state="frozen"/>
      <selection pane="bottomRight" activeCell="L20" sqref="L20"/>
      <pageMargins left="0.7" right="0.7" top="0.75" bottom="0.75" header="0.3" footer="0.3"/>
      <pageSetup paperSize="9" orientation="portrait" r:id="rId28"/>
    </customSheetView>
  </customSheetViews>
  <mergeCells count="46">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B17:AG17"/>
    <mergeCell ref="A26:A28"/>
    <mergeCell ref="B26:B28"/>
    <mergeCell ref="A29:A31"/>
    <mergeCell ref="B29:B31"/>
    <mergeCell ref="A18:A21"/>
    <mergeCell ref="B18:B21"/>
    <mergeCell ref="A22:A25"/>
    <mergeCell ref="B22:B25"/>
    <mergeCell ref="A32:A34"/>
    <mergeCell ref="B32:B34"/>
    <mergeCell ref="B41:AG41"/>
    <mergeCell ref="A42:A44"/>
    <mergeCell ref="B42:B44"/>
    <mergeCell ref="A35:A37"/>
    <mergeCell ref="B35:B37"/>
    <mergeCell ref="A38:A40"/>
    <mergeCell ref="B38:B40"/>
  </mergeCells>
  <pageMargins left="0.7" right="0.7" top="0.75" bottom="0.75" header="0.3" footer="0.3"/>
  <pageSetup paperSize="9" orientation="portrait" r:id="rId29"/>
  <legacyDrawing r:id="rId3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G8" activePane="bottomRight" state="frozen"/>
      <selection pane="topRight" activeCell="G1" sqref="G1"/>
      <selection pane="bottomLeft" activeCell="A8" sqref="A8"/>
      <selection pane="bottomRight" activeCell="F6" sqref="F6"/>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512" t="s">
        <v>24</v>
      </c>
      <c r="D2" s="512"/>
      <c r="E2" s="512"/>
      <c r="F2" s="512"/>
      <c r="G2" s="512"/>
      <c r="H2" s="512"/>
      <c r="I2" s="512"/>
      <c r="J2" s="512"/>
      <c r="K2" s="512"/>
      <c r="L2" s="512"/>
      <c r="M2" s="512"/>
      <c r="N2" s="512"/>
      <c r="O2" s="512"/>
      <c r="P2" s="512"/>
      <c r="Q2" s="512"/>
      <c r="R2" s="512"/>
      <c r="S2" s="512"/>
      <c r="T2" s="93"/>
      <c r="U2" s="93"/>
      <c r="V2" s="93"/>
      <c r="W2" s="93"/>
      <c r="X2" s="93"/>
      <c r="Y2" s="93"/>
      <c r="Z2" s="93"/>
      <c r="AA2" s="93"/>
      <c r="AB2" s="93"/>
      <c r="AC2" s="93"/>
      <c r="AD2" s="93"/>
      <c r="AE2" s="93"/>
      <c r="AF2" s="93"/>
      <c r="AG2" s="93"/>
      <c r="AH2" s="93"/>
    </row>
    <row r="3" spans="1:35" ht="36.75" customHeight="1" x14ac:dyDescent="0.25">
      <c r="C3" s="512" t="s">
        <v>167</v>
      </c>
      <c r="D3" s="512"/>
      <c r="E3" s="512"/>
      <c r="F3" s="512"/>
      <c r="G3" s="512"/>
      <c r="H3" s="512"/>
      <c r="I3" s="512"/>
      <c r="J3" s="512"/>
      <c r="K3" s="512"/>
      <c r="L3" s="512"/>
      <c r="M3" s="512"/>
      <c r="N3" s="512"/>
      <c r="O3" s="512"/>
      <c r="P3" s="512"/>
      <c r="Q3" s="512"/>
      <c r="R3" s="512"/>
      <c r="S3" s="512"/>
      <c r="T3" s="94"/>
      <c r="U3" s="94"/>
      <c r="V3" s="94"/>
      <c r="W3" s="94"/>
      <c r="X3" s="94"/>
      <c r="Y3" s="94"/>
      <c r="Z3" s="94"/>
      <c r="AA3" s="94"/>
      <c r="AB3" s="94"/>
      <c r="AC3" s="94"/>
      <c r="AD3" s="95"/>
      <c r="AE3" s="95"/>
      <c r="AF3" s="95"/>
      <c r="AG3" s="37" t="s">
        <v>0</v>
      </c>
      <c r="AH3" s="95"/>
    </row>
    <row r="4" spans="1:35" s="33" customFormat="1" ht="15" customHeight="1" x14ac:dyDescent="0.25">
      <c r="A4" s="514" t="s">
        <v>26</v>
      </c>
      <c r="B4" s="517" t="s">
        <v>29</v>
      </c>
      <c r="C4" s="517" t="s">
        <v>30</v>
      </c>
      <c r="D4" s="525" t="s">
        <v>1</v>
      </c>
      <c r="E4" s="525" t="s">
        <v>1</v>
      </c>
      <c r="F4" s="525" t="s">
        <v>2</v>
      </c>
      <c r="G4" s="525" t="s">
        <v>3</v>
      </c>
      <c r="H4" s="508" t="s">
        <v>4</v>
      </c>
      <c r="I4" s="509"/>
      <c r="J4" s="668" t="s">
        <v>5</v>
      </c>
      <c r="K4" s="669"/>
      <c r="L4" s="668" t="s">
        <v>6</v>
      </c>
      <c r="M4" s="669"/>
      <c r="N4" s="668" t="s">
        <v>7</v>
      </c>
      <c r="O4" s="669"/>
      <c r="P4" s="668" t="s">
        <v>8</v>
      </c>
      <c r="Q4" s="669"/>
      <c r="R4" s="668" t="s">
        <v>9</v>
      </c>
      <c r="S4" s="669"/>
      <c r="T4" s="508" t="s">
        <v>10</v>
      </c>
      <c r="U4" s="509"/>
      <c r="V4" s="508" t="s">
        <v>11</v>
      </c>
      <c r="W4" s="509"/>
      <c r="X4" s="508" t="s">
        <v>12</v>
      </c>
      <c r="Y4" s="509"/>
      <c r="Z4" s="508" t="s">
        <v>13</v>
      </c>
      <c r="AA4" s="509"/>
      <c r="AB4" s="508" t="s">
        <v>14</v>
      </c>
      <c r="AC4" s="509"/>
      <c r="AD4" s="508" t="s">
        <v>15</v>
      </c>
      <c r="AE4" s="509"/>
      <c r="AF4" s="508" t="s">
        <v>16</v>
      </c>
      <c r="AG4" s="509"/>
      <c r="AH4" s="527" t="s">
        <v>17</v>
      </c>
    </row>
    <row r="5" spans="1:35" s="33" customFormat="1" ht="39" customHeight="1" x14ac:dyDescent="0.25">
      <c r="A5" s="515"/>
      <c r="B5" s="518"/>
      <c r="C5" s="518"/>
      <c r="D5" s="526"/>
      <c r="E5" s="526"/>
      <c r="F5" s="526"/>
      <c r="G5" s="526"/>
      <c r="H5" s="510"/>
      <c r="I5" s="511"/>
      <c r="J5" s="670"/>
      <c r="K5" s="671"/>
      <c r="L5" s="670"/>
      <c r="M5" s="671"/>
      <c r="N5" s="670"/>
      <c r="O5" s="671"/>
      <c r="P5" s="670"/>
      <c r="Q5" s="671"/>
      <c r="R5" s="670"/>
      <c r="S5" s="671"/>
      <c r="T5" s="510"/>
      <c r="U5" s="511"/>
      <c r="V5" s="510"/>
      <c r="W5" s="511"/>
      <c r="X5" s="510"/>
      <c r="Y5" s="511"/>
      <c r="Z5" s="510"/>
      <c r="AA5" s="511"/>
      <c r="AB5" s="510"/>
      <c r="AC5" s="511"/>
      <c r="AD5" s="510"/>
      <c r="AE5" s="511"/>
      <c r="AF5" s="510"/>
      <c r="AG5" s="511"/>
      <c r="AH5" s="528"/>
    </row>
    <row r="6" spans="1:35" s="33" customFormat="1" ht="64.5" customHeight="1" x14ac:dyDescent="0.25">
      <c r="A6" s="516"/>
      <c r="B6" s="519"/>
      <c r="C6" s="519"/>
      <c r="D6" s="38">
        <v>2025</v>
      </c>
      <c r="E6" s="39">
        <v>45870</v>
      </c>
      <c r="F6" s="39">
        <v>45870</v>
      </c>
      <c r="G6" s="39">
        <v>45870</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100" customFormat="1" ht="31.5" customHeight="1" x14ac:dyDescent="0.25">
      <c r="A8" s="610"/>
      <c r="B8" s="527" t="s">
        <v>23</v>
      </c>
      <c r="C8" s="97" t="s">
        <v>20</v>
      </c>
      <c r="D8" s="98">
        <f>SUM(D9:D9)</f>
        <v>55932.299999999988</v>
      </c>
      <c r="E8" s="98">
        <f>SUM(E9:E9)</f>
        <v>34612.659999999996</v>
      </c>
      <c r="F8" s="98">
        <f>SUM(F9:F9)</f>
        <v>31909.390000000003</v>
      </c>
      <c r="G8" s="345">
        <f>SUM(G9:G9)</f>
        <v>31909.390000000003</v>
      </c>
      <c r="H8" s="98">
        <f>IFERROR(G8/D8*100,0)</f>
        <v>57.050022974202761</v>
      </c>
      <c r="I8" s="98">
        <f>IFERROR(G8/E8*100,0)</f>
        <v>92.189938594722292</v>
      </c>
      <c r="J8" s="99">
        <f t="shared" ref="J8:AG8" si="0">SUM(J9:J9)</f>
        <v>7088.74</v>
      </c>
      <c r="K8" s="99">
        <f t="shared" si="0"/>
        <v>4289.4799999999996</v>
      </c>
      <c r="L8" s="99">
        <f t="shared" si="0"/>
        <v>3533.8</v>
      </c>
      <c r="M8" s="99">
        <f t="shared" si="0"/>
        <v>5094.54</v>
      </c>
      <c r="N8" s="99">
        <f t="shared" si="0"/>
        <v>3048.6</v>
      </c>
      <c r="O8" s="99">
        <f t="shared" si="0"/>
        <v>3732.34</v>
      </c>
      <c r="P8" s="99">
        <f t="shared" si="0"/>
        <v>5336.32</v>
      </c>
      <c r="Q8" s="99">
        <f t="shared" si="0"/>
        <v>4872.3999999999996</v>
      </c>
      <c r="R8" s="99">
        <f t="shared" si="0"/>
        <v>5115.4399999999996</v>
      </c>
      <c r="S8" s="99">
        <f t="shared" si="0"/>
        <v>2881.13</v>
      </c>
      <c r="T8" s="99">
        <f t="shared" si="0"/>
        <v>4906.1099999999997</v>
      </c>
      <c r="U8" s="99">
        <f t="shared" si="0"/>
        <v>5236.6099999999997</v>
      </c>
      <c r="V8" s="99">
        <f t="shared" si="0"/>
        <v>5583.65</v>
      </c>
      <c r="W8" s="99">
        <f t="shared" si="0"/>
        <v>5802.89</v>
      </c>
      <c r="X8" s="99">
        <f t="shared" si="0"/>
        <v>4692.93</v>
      </c>
      <c r="Y8" s="99">
        <f t="shared" si="0"/>
        <v>0</v>
      </c>
      <c r="Z8" s="99">
        <f t="shared" si="0"/>
        <v>3476</v>
      </c>
      <c r="AA8" s="99">
        <f t="shared" si="0"/>
        <v>0</v>
      </c>
      <c r="AB8" s="99">
        <f t="shared" si="0"/>
        <v>3645.6</v>
      </c>
      <c r="AC8" s="99">
        <f t="shared" si="0"/>
        <v>0</v>
      </c>
      <c r="AD8" s="99">
        <f t="shared" si="0"/>
        <v>3710.7</v>
      </c>
      <c r="AE8" s="99">
        <f t="shared" si="0"/>
        <v>0</v>
      </c>
      <c r="AF8" s="99">
        <f t="shared" si="0"/>
        <v>5794.41</v>
      </c>
      <c r="AG8" s="99">
        <f t="shared" si="0"/>
        <v>0</v>
      </c>
      <c r="AH8" s="60"/>
    </row>
    <row r="9" spans="1:35" s="33" customFormat="1" ht="38.25" customHeight="1" x14ac:dyDescent="0.25">
      <c r="A9" s="612"/>
      <c r="B9" s="529"/>
      <c r="C9" s="101" t="s">
        <v>21</v>
      </c>
      <c r="D9" s="102">
        <f>D12</f>
        <v>55932.299999999988</v>
      </c>
      <c r="E9" s="102">
        <f>E12</f>
        <v>34612.659999999996</v>
      </c>
      <c r="F9" s="102">
        <f>F12</f>
        <v>31909.390000000003</v>
      </c>
      <c r="G9" s="102">
        <f>G12</f>
        <v>31909.390000000003</v>
      </c>
      <c r="H9" s="102">
        <f>IFERROR(G9/D9*100,0)</f>
        <v>57.050022974202761</v>
      </c>
      <c r="I9" s="102">
        <f>IFERROR(G9/E9*100,0)</f>
        <v>92.189938594722292</v>
      </c>
      <c r="J9" s="103">
        <f>J12</f>
        <v>7088.74</v>
      </c>
      <c r="K9" s="103">
        <f t="shared" ref="K9:AG9" si="1">K12</f>
        <v>4289.4799999999996</v>
      </c>
      <c r="L9" s="103">
        <f t="shared" si="1"/>
        <v>3533.8</v>
      </c>
      <c r="M9" s="103">
        <f t="shared" si="1"/>
        <v>5094.54</v>
      </c>
      <c r="N9" s="103">
        <f t="shared" si="1"/>
        <v>3048.6</v>
      </c>
      <c r="O9" s="103">
        <f t="shared" si="1"/>
        <v>3732.34</v>
      </c>
      <c r="P9" s="103">
        <f t="shared" si="1"/>
        <v>5336.32</v>
      </c>
      <c r="Q9" s="103">
        <f t="shared" si="1"/>
        <v>4872.3999999999996</v>
      </c>
      <c r="R9" s="103">
        <f t="shared" si="1"/>
        <v>5115.4399999999996</v>
      </c>
      <c r="S9" s="103">
        <f>S12</f>
        <v>2881.13</v>
      </c>
      <c r="T9" s="103">
        <f t="shared" si="1"/>
        <v>4906.1099999999997</v>
      </c>
      <c r="U9" s="103">
        <f t="shared" si="1"/>
        <v>5236.6099999999997</v>
      </c>
      <c r="V9" s="103">
        <f t="shared" si="1"/>
        <v>5583.65</v>
      </c>
      <c r="W9" s="103">
        <f t="shared" si="1"/>
        <v>5802.89</v>
      </c>
      <c r="X9" s="103">
        <f t="shared" si="1"/>
        <v>4692.93</v>
      </c>
      <c r="Y9" s="103">
        <f t="shared" si="1"/>
        <v>0</v>
      </c>
      <c r="Z9" s="103">
        <f t="shared" si="1"/>
        <v>3476</v>
      </c>
      <c r="AA9" s="103">
        <f t="shared" si="1"/>
        <v>0</v>
      </c>
      <c r="AB9" s="103">
        <f t="shared" si="1"/>
        <v>3645.6</v>
      </c>
      <c r="AC9" s="103">
        <f t="shared" si="1"/>
        <v>0</v>
      </c>
      <c r="AD9" s="103">
        <f t="shared" si="1"/>
        <v>3710.7</v>
      </c>
      <c r="AE9" s="103">
        <f t="shared" si="1"/>
        <v>0</v>
      </c>
      <c r="AF9" s="103">
        <f t="shared" si="1"/>
        <v>5794.41</v>
      </c>
      <c r="AG9" s="103">
        <f t="shared" si="1"/>
        <v>0</v>
      </c>
      <c r="AH9" s="64"/>
    </row>
    <row r="10" spans="1:35" s="33" customFormat="1" ht="21" customHeight="1" x14ac:dyDescent="0.25">
      <c r="A10" s="107"/>
      <c r="B10" s="536" t="s">
        <v>168</v>
      </c>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8"/>
      <c r="AH10" s="64"/>
      <c r="AI10" s="106"/>
    </row>
    <row r="11" spans="1:35" s="100" customFormat="1" ht="43.5" customHeight="1" x14ac:dyDescent="0.25">
      <c r="A11" s="539" t="s">
        <v>169</v>
      </c>
      <c r="B11" s="517" t="s">
        <v>170</v>
      </c>
      <c r="C11" s="97" t="s">
        <v>20</v>
      </c>
      <c r="D11" s="98">
        <f>SUM(D12:D12)</f>
        <v>55932.299999999988</v>
      </c>
      <c r="E11" s="98">
        <f>SUM(E12:E12)</f>
        <v>34612.659999999996</v>
      </c>
      <c r="F11" s="98">
        <f>SUM(F12:F12)</f>
        <v>31909.390000000003</v>
      </c>
      <c r="G11" s="98">
        <f>SUM(G12:G12)</f>
        <v>31909.390000000003</v>
      </c>
      <c r="H11" s="98">
        <f>IFERROR(G11/D11*100,0)</f>
        <v>57.050022974202761</v>
      </c>
      <c r="I11" s="98">
        <f>IFERROR(G11/E11*100,0)</f>
        <v>92.189938594722292</v>
      </c>
      <c r="J11" s="99">
        <f t="shared" ref="J11:AG11" si="2">SUM(J12:J12)</f>
        <v>7088.74</v>
      </c>
      <c r="K11" s="99">
        <f t="shared" si="2"/>
        <v>4289.4799999999996</v>
      </c>
      <c r="L11" s="99">
        <f t="shared" si="2"/>
        <v>3533.8</v>
      </c>
      <c r="M11" s="99">
        <f t="shared" si="2"/>
        <v>5094.54</v>
      </c>
      <c r="N11" s="99">
        <f t="shared" si="2"/>
        <v>3048.6</v>
      </c>
      <c r="O11" s="99">
        <f t="shared" si="2"/>
        <v>3732.34</v>
      </c>
      <c r="P11" s="99">
        <f t="shared" si="2"/>
        <v>5336.32</v>
      </c>
      <c r="Q11" s="99">
        <f t="shared" si="2"/>
        <v>4872.3999999999996</v>
      </c>
      <c r="R11" s="99">
        <f t="shared" si="2"/>
        <v>5115.4399999999996</v>
      </c>
      <c r="S11" s="99">
        <f t="shared" si="2"/>
        <v>2881.13</v>
      </c>
      <c r="T11" s="99">
        <f t="shared" si="2"/>
        <v>4906.1099999999997</v>
      </c>
      <c r="U11" s="99">
        <f t="shared" si="2"/>
        <v>5236.6099999999997</v>
      </c>
      <c r="V11" s="99">
        <f t="shared" si="2"/>
        <v>5583.65</v>
      </c>
      <c r="W11" s="99">
        <f t="shared" si="2"/>
        <v>5802.89</v>
      </c>
      <c r="X11" s="99">
        <f t="shared" si="2"/>
        <v>4692.93</v>
      </c>
      <c r="Y11" s="99">
        <f t="shared" si="2"/>
        <v>0</v>
      </c>
      <c r="Z11" s="99">
        <f t="shared" si="2"/>
        <v>3476</v>
      </c>
      <c r="AA11" s="99">
        <f t="shared" si="2"/>
        <v>0</v>
      </c>
      <c r="AB11" s="99">
        <f t="shared" si="2"/>
        <v>3645.6</v>
      </c>
      <c r="AC11" s="99">
        <f t="shared" si="2"/>
        <v>0</v>
      </c>
      <c r="AD11" s="99">
        <f t="shared" si="2"/>
        <v>3710.7</v>
      </c>
      <c r="AE11" s="99">
        <f t="shared" si="2"/>
        <v>0</v>
      </c>
      <c r="AF11" s="99">
        <f t="shared" si="2"/>
        <v>5794.41</v>
      </c>
      <c r="AG11" s="99">
        <f t="shared" si="2"/>
        <v>0</v>
      </c>
      <c r="AH11" s="60"/>
      <c r="AI11" s="106"/>
    </row>
    <row r="12" spans="1:35" s="33" customFormat="1" ht="48" customHeight="1" x14ac:dyDescent="0.25">
      <c r="A12" s="541"/>
      <c r="B12" s="519"/>
      <c r="C12" s="101" t="s">
        <v>21</v>
      </c>
      <c r="D12" s="102">
        <f>SUM(J12,L12,N12,P12,R12,T12,V12,X12,Z12,AB12,AD12,AF12)</f>
        <v>55932.299999999988</v>
      </c>
      <c r="E12" s="102">
        <f>J12+L12+N12+P12+R12+T12+V12</f>
        <v>34612.659999999996</v>
      </c>
      <c r="F12" s="102">
        <f>G12</f>
        <v>31909.390000000003</v>
      </c>
      <c r="G12" s="102">
        <f>SUM(K12,M12,O12,Q12,S12,U12,W12,Y12,AA12,AC12,AE12,AG12)</f>
        <v>31909.390000000003</v>
      </c>
      <c r="H12" s="102">
        <f>IFERROR(G12/D12*100,0)</f>
        <v>57.050022974202761</v>
      </c>
      <c r="I12" s="102">
        <f>IFERROR(G12/E12*100,0)</f>
        <v>92.189938594722292</v>
      </c>
      <c r="J12" s="182">
        <f t="shared" ref="J12:AF12" si="3">J14</f>
        <v>7088.74</v>
      </c>
      <c r="K12" s="182">
        <f t="shared" si="3"/>
        <v>4289.4799999999996</v>
      </c>
      <c r="L12" s="182">
        <f t="shared" si="3"/>
        <v>3533.8</v>
      </c>
      <c r="M12" s="103">
        <f t="shared" si="3"/>
        <v>5094.54</v>
      </c>
      <c r="N12" s="103">
        <f t="shared" si="3"/>
        <v>3048.6</v>
      </c>
      <c r="O12" s="103">
        <f t="shared" si="3"/>
        <v>3732.34</v>
      </c>
      <c r="P12" s="103">
        <f t="shared" si="3"/>
        <v>5336.32</v>
      </c>
      <c r="Q12" s="103">
        <f t="shared" si="3"/>
        <v>4872.3999999999996</v>
      </c>
      <c r="R12" s="103">
        <f t="shared" si="3"/>
        <v>5115.4399999999996</v>
      </c>
      <c r="S12" s="103">
        <f>S14</f>
        <v>2881.13</v>
      </c>
      <c r="T12" s="103">
        <f t="shared" si="3"/>
        <v>4906.1099999999997</v>
      </c>
      <c r="U12" s="103">
        <f t="shared" si="3"/>
        <v>5236.6099999999997</v>
      </c>
      <c r="V12" s="103">
        <f t="shared" si="3"/>
        <v>5583.65</v>
      </c>
      <c r="W12" s="103">
        <f t="shared" si="3"/>
        <v>5802.89</v>
      </c>
      <c r="X12" s="103">
        <f t="shared" si="3"/>
        <v>4692.93</v>
      </c>
      <c r="Y12" s="103">
        <f t="shared" si="3"/>
        <v>0</v>
      </c>
      <c r="Z12" s="103">
        <f t="shared" si="3"/>
        <v>3476</v>
      </c>
      <c r="AA12" s="103">
        <f t="shared" si="3"/>
        <v>0</v>
      </c>
      <c r="AB12" s="103">
        <f t="shared" si="3"/>
        <v>3645.6</v>
      </c>
      <c r="AC12" s="103">
        <f t="shared" si="3"/>
        <v>0</v>
      </c>
      <c r="AD12" s="103">
        <f t="shared" si="3"/>
        <v>3710.7</v>
      </c>
      <c r="AE12" s="103">
        <f t="shared" si="3"/>
        <v>0</v>
      </c>
      <c r="AF12" s="103">
        <f t="shared" si="3"/>
        <v>5794.41</v>
      </c>
      <c r="AG12" s="103">
        <f>AG14</f>
        <v>0</v>
      </c>
      <c r="AH12" s="64"/>
      <c r="AI12" s="106"/>
    </row>
    <row r="13" spans="1:35" s="100" customFormat="1" ht="34.5" customHeight="1" x14ac:dyDescent="0.25">
      <c r="A13" s="610"/>
      <c r="B13" s="666" t="s">
        <v>171</v>
      </c>
      <c r="C13" s="108" t="s">
        <v>20</v>
      </c>
      <c r="D13" s="109">
        <f>D14</f>
        <v>55932.299999999988</v>
      </c>
      <c r="E13" s="109">
        <f>E14</f>
        <v>34612.659999999996</v>
      </c>
      <c r="F13" s="109">
        <f>F14</f>
        <v>31909.390000000003</v>
      </c>
      <c r="G13" s="109">
        <f>G14</f>
        <v>31909.390000000003</v>
      </c>
      <c r="H13" s="109">
        <f>IFERROR(G13/D13*100,0)</f>
        <v>57.050022974202761</v>
      </c>
      <c r="I13" s="109">
        <f>IFERROR(G13/E13*100,0)</f>
        <v>92.189938594722292</v>
      </c>
      <c r="J13" s="110">
        <f>J14</f>
        <v>7088.74</v>
      </c>
      <c r="K13" s="110">
        <f t="shared" ref="K13:AG13" si="4">K14</f>
        <v>4289.4799999999996</v>
      </c>
      <c r="L13" s="110">
        <f t="shared" si="4"/>
        <v>3533.8</v>
      </c>
      <c r="M13" s="110">
        <f t="shared" si="4"/>
        <v>5094.54</v>
      </c>
      <c r="N13" s="110">
        <f t="shared" si="4"/>
        <v>3048.6</v>
      </c>
      <c r="O13" s="110">
        <f t="shared" si="4"/>
        <v>3732.34</v>
      </c>
      <c r="P13" s="110">
        <f t="shared" si="4"/>
        <v>5336.32</v>
      </c>
      <c r="Q13" s="110">
        <f t="shared" si="4"/>
        <v>4872.3999999999996</v>
      </c>
      <c r="R13" s="110">
        <f t="shared" si="4"/>
        <v>5115.4399999999996</v>
      </c>
      <c r="S13" s="110">
        <f t="shared" si="4"/>
        <v>2881.13</v>
      </c>
      <c r="T13" s="110">
        <f t="shared" si="4"/>
        <v>4906.1099999999997</v>
      </c>
      <c r="U13" s="110">
        <f t="shared" si="4"/>
        <v>5236.6099999999997</v>
      </c>
      <c r="V13" s="110">
        <f t="shared" si="4"/>
        <v>5583.65</v>
      </c>
      <c r="W13" s="110">
        <f t="shared" si="4"/>
        <v>5802.89</v>
      </c>
      <c r="X13" s="110">
        <f t="shared" si="4"/>
        <v>4692.93</v>
      </c>
      <c r="Y13" s="110">
        <f t="shared" si="4"/>
        <v>0</v>
      </c>
      <c r="Z13" s="110">
        <f t="shared" si="4"/>
        <v>3476</v>
      </c>
      <c r="AA13" s="110">
        <f t="shared" si="4"/>
        <v>0</v>
      </c>
      <c r="AB13" s="110">
        <f t="shared" si="4"/>
        <v>3645.6</v>
      </c>
      <c r="AC13" s="110">
        <f t="shared" si="4"/>
        <v>0</v>
      </c>
      <c r="AD13" s="110">
        <f t="shared" si="4"/>
        <v>3710.7</v>
      </c>
      <c r="AE13" s="110">
        <f t="shared" si="4"/>
        <v>0</v>
      </c>
      <c r="AF13" s="110">
        <f t="shared" si="4"/>
        <v>5794.41</v>
      </c>
      <c r="AG13" s="110">
        <f t="shared" si="4"/>
        <v>0</v>
      </c>
      <c r="AH13" s="111"/>
      <c r="AI13" s="106"/>
    </row>
    <row r="14" spans="1:35" s="33" customFormat="1" ht="43.5" customHeight="1" x14ac:dyDescent="0.25">
      <c r="A14" s="612"/>
      <c r="B14" s="667"/>
      <c r="C14" s="112" t="s">
        <v>21</v>
      </c>
      <c r="D14" s="181">
        <f>SUM(J14,L14,N14,P14,R14,T14,V14,X14,Z14,AB14,AD14,AF14)</f>
        <v>55932.299999999988</v>
      </c>
      <c r="E14" s="113">
        <f>J14+L14+N14+P14+R14+T14+V14</f>
        <v>34612.659999999996</v>
      </c>
      <c r="F14" s="113">
        <f>G14</f>
        <v>31909.390000000003</v>
      </c>
      <c r="G14" s="113">
        <f>SUM(K14,M14,O14,Q14,S14,U14,W14,Y14,AA14,AC14,AE14,AG14)</f>
        <v>31909.390000000003</v>
      </c>
      <c r="H14" s="113">
        <f>IFERROR(G14/D14*100,0)</f>
        <v>57.050022974202761</v>
      </c>
      <c r="I14" s="113">
        <f>IFERROR(G14/E14*100,0)</f>
        <v>92.189938594722292</v>
      </c>
      <c r="J14" s="182">
        <v>7088.74</v>
      </c>
      <c r="K14" s="182">
        <v>4289.4799999999996</v>
      </c>
      <c r="L14" s="182">
        <v>3533.8</v>
      </c>
      <c r="M14" s="182">
        <v>5094.54</v>
      </c>
      <c r="N14" s="182">
        <v>3048.6</v>
      </c>
      <c r="O14" s="182">
        <v>3732.34</v>
      </c>
      <c r="P14" s="182">
        <v>5336.32</v>
      </c>
      <c r="Q14" s="182">
        <v>4872.3999999999996</v>
      </c>
      <c r="R14" s="182">
        <v>5115.4399999999996</v>
      </c>
      <c r="S14" s="182">
        <v>2881.13</v>
      </c>
      <c r="T14" s="182">
        <v>4906.1099999999997</v>
      </c>
      <c r="U14" s="182">
        <v>5236.6099999999997</v>
      </c>
      <c r="V14" s="182">
        <v>5583.65</v>
      </c>
      <c r="W14" s="182">
        <v>5802.89</v>
      </c>
      <c r="X14" s="182">
        <v>4692.93</v>
      </c>
      <c r="Y14" s="182">
        <v>0</v>
      </c>
      <c r="Z14" s="182">
        <v>3476</v>
      </c>
      <c r="AA14" s="182">
        <v>0</v>
      </c>
      <c r="AB14" s="182">
        <v>3645.6</v>
      </c>
      <c r="AC14" s="182">
        <v>0</v>
      </c>
      <c r="AD14" s="182">
        <v>3710.7</v>
      </c>
      <c r="AE14" s="182">
        <v>0</v>
      </c>
      <c r="AF14" s="182">
        <v>5794.41</v>
      </c>
      <c r="AG14" s="114">
        <v>0</v>
      </c>
      <c r="AH14" s="111"/>
      <c r="AI14" s="106"/>
    </row>
    <row r="19" spans="11:11" x14ac:dyDescent="0.25">
      <c r="K19" s="136"/>
    </row>
  </sheetData>
  <customSheetViews>
    <customSheetView guid="{133BB3F8-8DD4-4AEF-8CD6-A5FB14681329}" scale="80" state="hidden">
      <pane xSplit="6" ySplit="7" topLeftCell="G8" activePane="bottomRight" state="frozen"/>
      <selection pane="bottomRight" activeCell="F6" sqref="F6"/>
      <pageMargins left="0.7" right="0.7" top="0.75" bottom="0.75" header="0.3" footer="0.3"/>
      <pageSetup paperSize="9" orientation="portrait" r:id="rId1"/>
    </customSheetView>
    <customSheetView guid="{7C5A2A36-3D69-43D9-9018-A52C27EC78F9}" scale="80">
      <pane xSplit="6" ySplit="7" topLeftCell="G8" activePane="bottomRight" state="frozen"/>
      <selection pane="bottomRight" activeCell="L13" sqref="L13"/>
      <pageMargins left="0.7" right="0.7" top="0.75" bottom="0.75" header="0.3" footer="0.3"/>
      <pageSetup paperSize="9" orientation="portrait" r:id="rId2"/>
    </customSheetView>
    <customSheetView guid="{2A5A11D4-90C6-4A3E-8165-7D7BD634B22F}" scale="80">
      <pane xSplit="6" ySplit="7" topLeftCell="G8" activePane="bottomRight" state="frozen"/>
      <selection pane="bottomRight" activeCell="D24" sqref="D24"/>
      <pageMargins left="0.7" right="0.7" top="0.75" bottom="0.75" header="0.3" footer="0.3"/>
      <pageSetup paperSize="9" orientation="portrait" r:id="rId3"/>
    </customSheetView>
    <customSheetView guid="{996EC2F0-F6EC-4E63-A83E-34865157BD8D}" scale="80">
      <pane xSplit="6" ySplit="7" topLeftCell="G8" activePane="bottomRight" state="frozen"/>
      <selection pane="bottomRight" activeCell="D24" sqref="D24"/>
      <pageMargins left="0.7" right="0.7" top="0.75" bottom="0.75" header="0.3" footer="0.3"/>
      <pageSetup paperSize="9" orientation="portrait" r:id="rId4"/>
    </customSheetView>
    <customSheetView guid="{AB9978E4-895D-4050-8F07-2484E22632D1}" scale="80">
      <pane xSplit="6" ySplit="7" topLeftCell="G8" activePane="bottomRight" state="frozen"/>
      <selection pane="bottomRight" activeCell="D26" sqref="D26"/>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D24" sqref="D24"/>
      <pageMargins left="0.7" right="0.7" top="0.75" bottom="0.75" header="0.3" footer="0.3"/>
      <pageSetup paperSize="9" orientation="portrait" r:id="rId6"/>
    </customSheetView>
    <customSheetView guid="{2940A182-D1A7-43C5-8D6E-965BED4371B0}" scale="80">
      <pane xSplit="6" ySplit="7" topLeftCell="G8" activePane="bottomRight" state="frozen"/>
      <selection pane="bottomRight" activeCell="D24" sqref="D24"/>
      <pageMargins left="0.7" right="0.7" top="0.75" bottom="0.75" header="0.3" footer="0.3"/>
      <pageSetup paperSize="9" orientation="portrait" r:id="rId7"/>
    </customSheetView>
    <customSheetView guid="{A0E2FBF6-E560-4343-8BE6-217DC798135B}" scale="80">
      <pane xSplit="6" ySplit="7" topLeftCell="G8" activePane="bottomRight" state="frozen"/>
      <selection pane="bottomRight" activeCell="D24" sqref="D24"/>
      <pageMargins left="0.7" right="0.7" top="0.75" bottom="0.75" header="0.3" footer="0.3"/>
      <pageSetup paperSize="9" orientation="portrait" r:id="rId8"/>
    </customSheetView>
    <customSheetView guid="{BBF6B43F-E0FC-43DF-B91C-674F6AB4B556}" scale="80">
      <pane xSplit="6" ySplit="7" topLeftCell="G8" activePane="bottomRight" state="frozen"/>
      <selection pane="bottomRight" activeCell="D24" sqref="D24"/>
      <pageMargins left="0.7" right="0.7" top="0.75" bottom="0.75" header="0.3" footer="0.3"/>
      <pageSetup paperSize="9" orientation="portrait" r:id="rId9"/>
    </customSheetView>
    <customSheetView guid="{C68436F4-AFB3-4D1D-A7C4-56D0C677D68E}" scale="80">
      <pane xSplit="6" ySplit="7" topLeftCell="I8" activePane="bottomRight" state="frozen"/>
      <selection pane="bottomRight" activeCell="S9" sqref="S9"/>
      <pageMargins left="0.7" right="0.7" top="0.75" bottom="0.75" header="0.3" footer="0.3"/>
      <pageSetup paperSize="9" orientation="portrait" r:id="rId10"/>
    </customSheetView>
    <customSheetView guid="{DAEDC989-02E7-4319-8354-59410ACF3F1F}" scale="80">
      <pane xSplit="6" ySplit="7" topLeftCell="G8" activePane="bottomRight" state="frozen"/>
      <selection pane="bottomRight" activeCell="G7" sqref="G7"/>
      <pageMargins left="0.7" right="0.7" top="0.75" bottom="0.75" header="0.3" footer="0.3"/>
      <pageSetup paperSize="9" orientation="portrait" r:id="rId11"/>
    </customSheetView>
    <customSheetView guid="{519948E4-0B24-465F-9D9E-44BE50D1D647}" scale="80">
      <pane xSplit="6" ySplit="7" topLeftCell="G8" activePane="bottomRight" state="frozen"/>
      <selection pane="bottomRight" activeCell="D24" sqref="D24"/>
      <pageMargins left="0.7" right="0.7" top="0.75" bottom="0.75" header="0.3" footer="0.3"/>
      <pageSetup paperSize="9" orientation="portrait" r:id="rId12"/>
    </customSheetView>
    <customSheetView guid="{C7DC638A-7F60-46C9-A1FB-9ADEAE87F332}" scale="80">
      <pane xSplit="6" ySplit="7" topLeftCell="H8" activePane="bottomRight" state="frozen"/>
      <selection pane="bottomRight" activeCell="M20" sqref="M20"/>
      <pageMargins left="0.7" right="0.7" top="0.75" bottom="0.75" header="0.3" footer="0.3"/>
      <pageSetup paperSize="9" orientation="portrait" r:id="rId13"/>
    </customSheetView>
    <customSheetView guid="{C01DC081-B312-4391-B775-A8CE76216D71}" scale="80">
      <pane xSplit="6" ySplit="7" topLeftCell="G8" activePane="bottomRight" state="frozen"/>
      <selection pane="bottomRight" activeCell="C25" sqref="C25"/>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E13" sqref="E13"/>
      <pageMargins left="0.7" right="0.7" top="0.75" bottom="0.75" header="0.3" footer="0.3"/>
      <pageSetup paperSize="9" orientation="portrait" r:id="rId15"/>
    </customSheetView>
    <customSheetView guid="{A7640BE7-6438-4196-9A67-AF5B992A1E70}" scale="80">
      <pane xSplit="6" ySplit="7" topLeftCell="G8" activePane="bottomRight" state="frozen"/>
      <selection pane="bottomRight" activeCell="D26" sqref="D26"/>
      <pageMargins left="0.7" right="0.7" top="0.75" bottom="0.75" header="0.3" footer="0.3"/>
      <pageSetup paperSize="9" orientation="portrait" r:id="rId16"/>
    </customSheetView>
    <customSheetView guid="{30B635D9-57DB-47D5-8A0F-4B30DD769960}" scale="80">
      <pane xSplit="6" ySplit="7" topLeftCell="G8" activePane="bottomRight" state="frozen"/>
      <selection pane="bottomRight" activeCell="D24" sqref="D24"/>
      <pageMargins left="0.7" right="0.7" top="0.75" bottom="0.75" header="0.3" footer="0.3"/>
      <pageSetup paperSize="9" orientation="portrait" r:id="rId17"/>
    </customSheetView>
    <customSheetView guid="{20A05A62-CBE8-4538-BBC3-2AD9D3B8FAC0}" scale="80">
      <pane xSplit="6" ySplit="7" topLeftCell="G8" activePane="bottomRight" state="frozen"/>
      <selection pane="bottomRight" activeCell="D24" sqref="D24"/>
      <pageMargins left="0.7" right="0.7" top="0.75" bottom="0.75" header="0.3" footer="0.3"/>
      <pageSetup paperSize="9" orientation="portrait" r:id="rId18"/>
    </customSheetView>
    <customSheetView guid="{C282AA4E-1BB5-4296-9AC6-844C0F88E5FC}" scale="80">
      <pane xSplit="6" ySplit="7" topLeftCell="G8" activePane="bottomRight" state="frozen"/>
      <selection pane="bottomRight" activeCell="D24" sqref="D24"/>
      <pageMargins left="0.7" right="0.7" top="0.75" bottom="0.75" header="0.3" footer="0.3"/>
      <pageSetup paperSize="9" orientation="portrait" r:id="rId19"/>
    </customSheetView>
    <customSheetView guid="{4E221C17-6DAB-4FFA-B18C-35D4D85AF6E8}" scale="80">
      <pane xSplit="6" ySplit="7" topLeftCell="G8" activePane="bottomRight" state="frozen"/>
      <selection pane="bottomRight" activeCell="D24" sqref="D24"/>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D24" sqref="D24"/>
      <pageMargins left="0.7" right="0.7" top="0.75" bottom="0.75" header="0.3" footer="0.3"/>
      <pageSetup paperSize="9" orientation="portrait" r:id="rId21"/>
    </customSheetView>
    <customSheetView guid="{F528EF6A-C113-49B5-B25F-D660F898CBFB}" scale="80">
      <pane xSplit="6" ySplit="7" topLeftCell="G8" activePane="bottomRight" state="frozen"/>
      <selection pane="bottomRight" activeCell="D24" sqref="D24"/>
      <pageMargins left="0.7" right="0.7" top="0.75" bottom="0.75" header="0.3" footer="0.3"/>
      <pageSetup paperSize="9" orientation="portrait" r:id="rId22"/>
    </customSheetView>
    <customSheetView guid="{B6B60ED6-A6CC-4DA7-A8CA-5E6DB52D5A87}" scale="80">
      <pane xSplit="6" ySplit="7" topLeftCell="G8" activePane="bottomRight" state="frozen"/>
      <selection pane="bottomRight" activeCell="D24" sqref="D24"/>
      <pageMargins left="0.7" right="0.7" top="0.75" bottom="0.75" header="0.3" footer="0.3"/>
      <pageSetup paperSize="9" orientation="portrait" r:id="rId23"/>
    </customSheetView>
    <customSheetView guid="{A4AF2100-C59D-4F60-9EAB-56D9103463F7}" scale="80">
      <pane xSplit="6" ySplit="7" topLeftCell="G8" activePane="bottomRight" state="frozen"/>
      <selection pane="bottomRight" activeCell="D24" sqref="D24"/>
      <pageMargins left="0.7" right="0.7" top="0.75" bottom="0.75" header="0.3" footer="0.3"/>
      <pageSetup paperSize="9" orientation="portrait" r:id="rId24"/>
    </customSheetView>
    <customSheetView guid="{EA46B61D-849C-4795-A4FF-F8F1740022EB}" scale="80">
      <pane xSplit="6" ySplit="7" topLeftCell="G8" activePane="bottomRight" state="frozen"/>
      <selection pane="bottomRight" activeCell="D24" sqref="D24"/>
      <pageMargins left="0.7" right="0.7" top="0.75" bottom="0.75" header="0.3" footer="0.3"/>
      <pageSetup paperSize="9" orientation="portrait" r:id="rId25"/>
    </customSheetView>
    <customSheetView guid="{B686A221-D885-4536-BEAC-E7F4BBC02150}" scale="80">
      <pane xSplit="6" ySplit="7" topLeftCell="G8" activePane="bottomRight" state="frozen"/>
      <selection pane="bottomRight" activeCell="D24" sqref="D24"/>
      <pageMargins left="0.7" right="0.7" top="0.75" bottom="0.75" header="0.3" footer="0.3"/>
      <pageSetup paperSize="9" orientation="portrait" r:id="rId26"/>
    </customSheetView>
    <customSheetView guid="{60A1F930-4BEC-460A-8E14-01E47F6DD055}" scale="80">
      <pane xSplit="6" ySplit="4" topLeftCell="G8" activePane="bottomRight" state="frozen"/>
      <selection pane="bottomRight" activeCell="D24" sqref="D24"/>
      <pageMargins left="0.7" right="0.7" top="0.75" bottom="0.75" header="0.3" footer="0.3"/>
      <pageSetup paperSize="9" orientation="portrait" r:id="rId27"/>
    </customSheetView>
    <customSheetView guid="{5DF2C78B-5EE4-439D-8D72-8D3A913B65F9}" scale="80">
      <pane xSplit="6" ySplit="7" topLeftCell="G8" activePane="bottomRight" state="frozen"/>
      <selection pane="bottomRight" activeCell="D24" sqref="D24"/>
      <pageMargins left="0.7" right="0.7" top="0.75" bottom="0.75" header="0.3" footer="0.3"/>
      <pageSetup paperSize="9" orientation="portrait" r:id="rId28"/>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3:A14"/>
    <mergeCell ref="B13:B14"/>
    <mergeCell ref="AH4:AH6"/>
    <mergeCell ref="A8:A9"/>
    <mergeCell ref="B8:B9"/>
    <mergeCell ref="B10:AG10"/>
    <mergeCell ref="A11:A12"/>
    <mergeCell ref="B11:B12"/>
    <mergeCell ref="V4:W5"/>
    <mergeCell ref="X4:Y5"/>
    <mergeCell ref="Z4:AA5"/>
    <mergeCell ref="AB4:AC5"/>
    <mergeCell ref="AD4:AE5"/>
    <mergeCell ref="AF4:AG5"/>
    <mergeCell ref="J4:K5"/>
    <mergeCell ref="L4:M5"/>
  </mergeCells>
  <pageMargins left="0.7" right="0.7" top="0.75" bottom="0.75" header="0.3" footer="0.3"/>
  <pageSetup paperSize="9" orientation="portrait" r:id="rId2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2"/>
  <sheetViews>
    <sheetView zoomScale="75" zoomScaleNormal="75" workbookViewId="0">
      <pane xSplit="6" ySplit="7" topLeftCell="G8" activePane="bottomRight" state="frozen"/>
      <selection pane="topRight" activeCell="G1" sqref="G1"/>
      <selection pane="bottomLeft" activeCell="A8" sqref="A8"/>
      <selection pane="bottomRight" activeCell="F6" sqref="F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124.42578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27" customHeight="1" x14ac:dyDescent="0.25">
      <c r="A3" s="55"/>
      <c r="B3" s="55"/>
      <c r="C3" s="513" t="s">
        <v>299</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20" t="s">
        <v>30</v>
      </c>
      <c r="D4" s="523"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21"/>
      <c r="D5" s="524"/>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22"/>
      <c r="D6" s="121">
        <v>2025</v>
      </c>
      <c r="E6" s="39">
        <v>45778</v>
      </c>
      <c r="F6" s="39">
        <v>45778</v>
      </c>
      <c r="G6" s="39">
        <v>45778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530"/>
      <c r="B8" s="688" t="s">
        <v>23</v>
      </c>
      <c r="C8" s="188" t="s">
        <v>20</v>
      </c>
      <c r="D8" s="189">
        <f>D9+D10</f>
        <v>134039.603</v>
      </c>
      <c r="E8" s="189">
        <f>E10+E9</f>
        <v>111709.57400000001</v>
      </c>
      <c r="F8" s="189">
        <f>F10+F9</f>
        <v>104759.69799999999</v>
      </c>
      <c r="G8" s="189">
        <f t="shared" ref="G8" si="0">G10+G9</f>
        <v>104759.69799999999</v>
      </c>
      <c r="H8" s="189">
        <f>IFERROR(G8/D8*100,0)</f>
        <v>78.155780571806062</v>
      </c>
      <c r="I8" s="189">
        <f>IFERROR(G8/E8*100,0)</f>
        <v>93.778620980149825</v>
      </c>
      <c r="J8" s="190">
        <f>J9+J10</f>
        <v>19836.083000000002</v>
      </c>
      <c r="K8" s="190">
        <f t="shared" ref="K8:AG8" si="1">K9+K10</f>
        <v>16477.845999999998</v>
      </c>
      <c r="L8" s="190">
        <f t="shared" si="1"/>
        <v>12187.647999999999</v>
      </c>
      <c r="M8" s="190">
        <f t="shared" si="1"/>
        <v>11974.710999999999</v>
      </c>
      <c r="N8" s="190">
        <f t="shared" si="1"/>
        <v>12075.3</v>
      </c>
      <c r="O8" s="190">
        <f t="shared" si="1"/>
        <v>12217.707999999999</v>
      </c>
      <c r="P8" s="190">
        <f t="shared" si="1"/>
        <v>12802.409</v>
      </c>
      <c r="Q8" s="190">
        <f t="shared" si="1"/>
        <v>10583.574000000001</v>
      </c>
      <c r="R8" s="190">
        <f t="shared" si="1"/>
        <v>9194.3680000000004</v>
      </c>
      <c r="S8" s="190">
        <f t="shared" si="1"/>
        <v>7692.5949999999993</v>
      </c>
      <c r="T8" s="190">
        <f t="shared" si="1"/>
        <v>6838.0249999999996</v>
      </c>
      <c r="U8" s="190">
        <f t="shared" si="1"/>
        <v>8418.5339999999997</v>
      </c>
      <c r="V8" s="190">
        <f t="shared" si="1"/>
        <v>12701.088999999998</v>
      </c>
      <c r="W8" s="190">
        <f t="shared" si="1"/>
        <v>11875.699000000001</v>
      </c>
      <c r="X8" s="190">
        <f t="shared" si="1"/>
        <v>9760.0920000000006</v>
      </c>
      <c r="Y8" s="190">
        <f t="shared" si="1"/>
        <v>9139.01</v>
      </c>
      <c r="Z8" s="190">
        <f t="shared" si="1"/>
        <v>8797.0319999999992</v>
      </c>
      <c r="AA8" s="190">
        <f t="shared" si="1"/>
        <v>10007.205</v>
      </c>
      <c r="AB8" s="190">
        <f t="shared" si="1"/>
        <v>7517.5280000000002</v>
      </c>
      <c r="AC8" s="190">
        <f t="shared" si="1"/>
        <v>6372.8159999999998</v>
      </c>
      <c r="AD8" s="190">
        <f t="shared" si="1"/>
        <v>8054.75</v>
      </c>
      <c r="AE8" s="190">
        <f t="shared" si="1"/>
        <v>0</v>
      </c>
      <c r="AF8" s="190">
        <f t="shared" si="1"/>
        <v>14275.278999999999</v>
      </c>
      <c r="AG8" s="190">
        <f t="shared" si="1"/>
        <v>0</v>
      </c>
      <c r="AH8" s="72"/>
    </row>
    <row r="9" spans="1:35" s="26" customFormat="1" ht="40.5" customHeight="1" x14ac:dyDescent="0.25">
      <c r="A9" s="531"/>
      <c r="B9" s="689"/>
      <c r="C9" s="374" t="s">
        <v>369</v>
      </c>
      <c r="D9" s="192">
        <f>J9+L9+N9+P9+R9+T9+V9+X9+Z9+AB9+AD9+AF9</f>
        <v>133611.603</v>
      </c>
      <c r="E9" s="192">
        <f>J9+L9+N9+P9+R9+T9+V9+X9+Z9+AB9</f>
        <v>111281.57400000001</v>
      </c>
      <c r="F9" s="192">
        <f>G9</f>
        <v>104759.69799999999</v>
      </c>
      <c r="G9" s="192">
        <f>K9+M9+O9+Q9+S9+U9+W9+Y9+AA9+AC9+AE9+AG9</f>
        <v>104759.69799999999</v>
      </c>
      <c r="H9" s="192">
        <f>IFERROR(G9/D9*100,0)</f>
        <v>78.40613812559377</v>
      </c>
      <c r="I9" s="192">
        <f>IFERROR(G9/E9*100,0)</f>
        <v>94.139302882254327</v>
      </c>
      <c r="J9" s="192">
        <f t="shared" ref="J9:AG9" si="2">J13+J22+J25+J30+J55</f>
        <v>19820.183000000001</v>
      </c>
      <c r="K9" s="192">
        <f t="shared" si="2"/>
        <v>16477.845999999998</v>
      </c>
      <c r="L9" s="192">
        <f t="shared" si="2"/>
        <v>11775.547999999999</v>
      </c>
      <c r="M9" s="192">
        <f t="shared" si="2"/>
        <v>11974.710999999999</v>
      </c>
      <c r="N9" s="192">
        <f t="shared" si="2"/>
        <v>12075.3</v>
      </c>
      <c r="O9" s="192">
        <f t="shared" si="2"/>
        <v>12217.707999999999</v>
      </c>
      <c r="P9" s="192">
        <f t="shared" si="2"/>
        <v>12802.409</v>
      </c>
      <c r="Q9" s="192">
        <f t="shared" si="2"/>
        <v>10583.574000000001</v>
      </c>
      <c r="R9" s="192">
        <f t="shared" si="2"/>
        <v>9194.3680000000004</v>
      </c>
      <c r="S9" s="192">
        <f t="shared" si="2"/>
        <v>7692.5949999999993</v>
      </c>
      <c r="T9" s="192">
        <f t="shared" si="2"/>
        <v>6838.0249999999996</v>
      </c>
      <c r="U9" s="192">
        <f t="shared" si="2"/>
        <v>8418.5339999999997</v>
      </c>
      <c r="V9" s="192">
        <f t="shared" si="2"/>
        <v>12701.088999999998</v>
      </c>
      <c r="W9" s="192">
        <f t="shared" si="2"/>
        <v>11875.699000000001</v>
      </c>
      <c r="X9" s="192">
        <f t="shared" si="2"/>
        <v>9760.0920000000006</v>
      </c>
      <c r="Y9" s="192">
        <f t="shared" si="2"/>
        <v>9139.01</v>
      </c>
      <c r="Z9" s="192">
        <f t="shared" si="2"/>
        <v>8797.0319999999992</v>
      </c>
      <c r="AA9" s="192">
        <f t="shared" si="2"/>
        <v>10007.205</v>
      </c>
      <c r="AB9" s="192">
        <f t="shared" si="2"/>
        <v>7517.5280000000002</v>
      </c>
      <c r="AC9" s="192">
        <f t="shared" si="2"/>
        <v>6372.8159999999998</v>
      </c>
      <c r="AD9" s="192">
        <f t="shared" si="2"/>
        <v>8054.75</v>
      </c>
      <c r="AE9" s="192">
        <f t="shared" si="2"/>
        <v>0</v>
      </c>
      <c r="AF9" s="192">
        <f t="shared" si="2"/>
        <v>14275.278999999999</v>
      </c>
      <c r="AG9" s="192">
        <f t="shared" si="2"/>
        <v>0</v>
      </c>
      <c r="AH9" s="75"/>
    </row>
    <row r="10" spans="1:35" s="26" customFormat="1" ht="34.5" customHeight="1" x14ac:dyDescent="0.25">
      <c r="A10" s="532"/>
      <c r="B10" s="690"/>
      <c r="C10" s="191" t="s">
        <v>113</v>
      </c>
      <c r="D10" s="192">
        <f t="shared" ref="D10" si="3">J10+L10+N10+P10+R10+T10+V10+X10+Z10+AB10+AD10+AF10</f>
        <v>428</v>
      </c>
      <c r="E10" s="192">
        <f>J10+L10+N10+P10+R10+T10+V10</f>
        <v>428</v>
      </c>
      <c r="F10" s="192">
        <f t="shared" ref="F10" si="4">G10</f>
        <v>0</v>
      </c>
      <c r="G10" s="192">
        <f t="shared" ref="G10" si="5">K10+M10+O10+Q10+S10+U10+W10+Y10+AA10+AC10+AE10+AG10</f>
        <v>0</v>
      </c>
      <c r="H10" s="192">
        <f>IFERROR(G10/D10*100,0)</f>
        <v>0</v>
      </c>
      <c r="I10" s="192">
        <f>IFERROR(G10/E10*100,0)</f>
        <v>0</v>
      </c>
      <c r="J10" s="192">
        <f>J31</f>
        <v>15.9</v>
      </c>
      <c r="K10" s="192">
        <f t="shared" ref="K10:AG10" si="6">K31</f>
        <v>0</v>
      </c>
      <c r="L10" s="192">
        <f t="shared" si="6"/>
        <v>412.1</v>
      </c>
      <c r="M10" s="192">
        <f>M31</f>
        <v>0</v>
      </c>
      <c r="N10" s="192">
        <f t="shared" si="6"/>
        <v>0</v>
      </c>
      <c r="O10" s="192">
        <f t="shared" si="6"/>
        <v>0</v>
      </c>
      <c r="P10" s="192">
        <f t="shared" si="6"/>
        <v>0</v>
      </c>
      <c r="Q10" s="192">
        <f t="shared" si="6"/>
        <v>0</v>
      </c>
      <c r="R10" s="192">
        <f t="shared" si="6"/>
        <v>0</v>
      </c>
      <c r="S10" s="192">
        <f t="shared" si="6"/>
        <v>0</v>
      </c>
      <c r="T10" s="192">
        <f t="shared" si="6"/>
        <v>0</v>
      </c>
      <c r="U10" s="192">
        <f t="shared" si="6"/>
        <v>0</v>
      </c>
      <c r="V10" s="192">
        <f t="shared" si="6"/>
        <v>0</v>
      </c>
      <c r="W10" s="192">
        <f t="shared" si="6"/>
        <v>0</v>
      </c>
      <c r="X10" s="192">
        <f t="shared" si="6"/>
        <v>0</v>
      </c>
      <c r="Y10" s="192">
        <f t="shared" si="6"/>
        <v>0</v>
      </c>
      <c r="Z10" s="192">
        <f t="shared" si="6"/>
        <v>0</v>
      </c>
      <c r="AA10" s="192">
        <f t="shared" si="6"/>
        <v>0</v>
      </c>
      <c r="AB10" s="192">
        <f t="shared" si="6"/>
        <v>0</v>
      </c>
      <c r="AC10" s="192">
        <f t="shared" si="6"/>
        <v>0</v>
      </c>
      <c r="AD10" s="192">
        <f t="shared" si="6"/>
        <v>0</v>
      </c>
      <c r="AE10" s="192">
        <f t="shared" si="6"/>
        <v>0</v>
      </c>
      <c r="AF10" s="192">
        <f t="shared" si="6"/>
        <v>0</v>
      </c>
      <c r="AG10" s="192">
        <f t="shared" si="6"/>
        <v>0</v>
      </c>
      <c r="AH10" s="75"/>
    </row>
    <row r="11" spans="1:35" s="22" customFormat="1" ht="18.75" customHeight="1" x14ac:dyDescent="0.25">
      <c r="A11" s="68"/>
      <c r="B11" s="536" t="s">
        <v>300</v>
      </c>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8"/>
      <c r="AH11" s="46"/>
    </row>
    <row r="12" spans="1:35" s="21" customFormat="1" ht="23.25" customHeight="1" x14ac:dyDescent="0.25">
      <c r="A12" s="673" t="s">
        <v>37</v>
      </c>
      <c r="B12" s="675" t="s">
        <v>301</v>
      </c>
      <c r="C12" s="183" t="s">
        <v>20</v>
      </c>
      <c r="D12" s="184">
        <f>D13</f>
        <v>7799.4</v>
      </c>
      <c r="E12" s="184">
        <f>E13</f>
        <v>6499.4</v>
      </c>
      <c r="F12" s="184">
        <f t="shared" ref="F12:G12" si="7">F13</f>
        <v>6499.4</v>
      </c>
      <c r="G12" s="184">
        <f t="shared" si="7"/>
        <v>6499.4</v>
      </c>
      <c r="H12" s="184">
        <f t="shared" ref="H12:H29" si="8">IFERROR(G12/D12*100,0)</f>
        <v>83.332051183424355</v>
      </c>
      <c r="I12" s="184">
        <f t="shared" ref="I12:I29" si="9">IFERROR(G12/E12*100,0)</f>
        <v>100</v>
      </c>
      <c r="J12" s="184">
        <f>J13</f>
        <v>6499.4</v>
      </c>
      <c r="K12" s="184">
        <f t="shared" ref="K12:AG12" si="10">K13</f>
        <v>6499.4</v>
      </c>
      <c r="L12" s="184">
        <f t="shared" si="10"/>
        <v>0</v>
      </c>
      <c r="M12" s="184">
        <f t="shared" si="10"/>
        <v>0</v>
      </c>
      <c r="N12" s="184">
        <f t="shared" si="10"/>
        <v>0</v>
      </c>
      <c r="O12" s="184">
        <f t="shared" si="10"/>
        <v>0</v>
      </c>
      <c r="P12" s="184">
        <f t="shared" si="10"/>
        <v>300</v>
      </c>
      <c r="Q12" s="184">
        <f t="shared" si="10"/>
        <v>0</v>
      </c>
      <c r="R12" s="184">
        <f t="shared" si="10"/>
        <v>0</v>
      </c>
      <c r="S12" s="184">
        <f t="shared" si="10"/>
        <v>0</v>
      </c>
      <c r="T12" s="184">
        <f t="shared" si="10"/>
        <v>0</v>
      </c>
      <c r="U12" s="184">
        <f t="shared" si="10"/>
        <v>0</v>
      </c>
      <c r="V12" s="184">
        <f t="shared" si="10"/>
        <v>0</v>
      </c>
      <c r="W12" s="184">
        <f t="shared" si="10"/>
        <v>0</v>
      </c>
      <c r="X12" s="184">
        <f t="shared" si="10"/>
        <v>0</v>
      </c>
      <c r="Y12" s="184">
        <f t="shared" si="10"/>
        <v>0</v>
      </c>
      <c r="Z12" s="184">
        <f t="shared" si="10"/>
        <v>0</v>
      </c>
      <c r="AA12" s="184">
        <f t="shared" si="10"/>
        <v>0</v>
      </c>
      <c r="AB12" s="184">
        <f t="shared" si="10"/>
        <v>0</v>
      </c>
      <c r="AC12" s="184">
        <f t="shared" si="10"/>
        <v>0</v>
      </c>
      <c r="AD12" s="184">
        <f t="shared" si="10"/>
        <v>1000</v>
      </c>
      <c r="AE12" s="184">
        <f t="shared" si="10"/>
        <v>0</v>
      </c>
      <c r="AF12" s="184">
        <f t="shared" si="10"/>
        <v>0</v>
      </c>
      <c r="AG12" s="184">
        <f t="shared" si="10"/>
        <v>0</v>
      </c>
      <c r="AH12" s="60"/>
      <c r="AI12" s="23"/>
    </row>
    <row r="13" spans="1:35" s="22" customFormat="1" ht="48" customHeight="1" x14ac:dyDescent="0.25">
      <c r="A13" s="674"/>
      <c r="B13" s="676"/>
      <c r="C13" s="186" t="s">
        <v>21</v>
      </c>
      <c r="D13" s="187">
        <f>SUM(J13,L13,N13,P13,R13,T13,V13,X13,Z13,AB13,AD13,AF13)</f>
        <v>7799.4</v>
      </c>
      <c r="E13" s="187">
        <f>J13+L13</f>
        <v>6499.4</v>
      </c>
      <c r="F13" s="187">
        <f>G13</f>
        <v>6499.4</v>
      </c>
      <c r="G13" s="187">
        <f>SUM(K13,M13,O13,Q13,S13,U13,W13,Y13,AA13,AC13,AE13,AG13)</f>
        <v>6499.4</v>
      </c>
      <c r="H13" s="187">
        <f t="shared" si="8"/>
        <v>83.332051183424355</v>
      </c>
      <c r="I13" s="187">
        <f t="shared" si="9"/>
        <v>100</v>
      </c>
      <c r="J13" s="193">
        <f t="shared" ref="J13:AG13" si="11">J15+J17+J19</f>
        <v>6499.4</v>
      </c>
      <c r="K13" s="193">
        <f t="shared" si="11"/>
        <v>6499.4</v>
      </c>
      <c r="L13" s="193">
        <f t="shared" si="11"/>
        <v>0</v>
      </c>
      <c r="M13" s="193">
        <f t="shared" si="11"/>
        <v>0</v>
      </c>
      <c r="N13" s="193">
        <f t="shared" si="11"/>
        <v>0</v>
      </c>
      <c r="O13" s="193">
        <f t="shared" si="11"/>
        <v>0</v>
      </c>
      <c r="P13" s="193">
        <f t="shared" si="11"/>
        <v>300</v>
      </c>
      <c r="Q13" s="193">
        <f t="shared" si="11"/>
        <v>0</v>
      </c>
      <c r="R13" s="193">
        <f t="shared" si="11"/>
        <v>0</v>
      </c>
      <c r="S13" s="193">
        <f t="shared" si="11"/>
        <v>0</v>
      </c>
      <c r="T13" s="193">
        <f t="shared" si="11"/>
        <v>0</v>
      </c>
      <c r="U13" s="193">
        <f t="shared" si="11"/>
        <v>0</v>
      </c>
      <c r="V13" s="193">
        <f t="shared" si="11"/>
        <v>0</v>
      </c>
      <c r="W13" s="193">
        <f t="shared" si="11"/>
        <v>0</v>
      </c>
      <c r="X13" s="193">
        <f t="shared" si="11"/>
        <v>0</v>
      </c>
      <c r="Y13" s="193">
        <f t="shared" si="11"/>
        <v>0</v>
      </c>
      <c r="Z13" s="193">
        <f t="shared" si="11"/>
        <v>0</v>
      </c>
      <c r="AA13" s="193">
        <f t="shared" si="11"/>
        <v>0</v>
      </c>
      <c r="AB13" s="193">
        <f t="shared" si="11"/>
        <v>0</v>
      </c>
      <c r="AC13" s="193">
        <f t="shared" si="11"/>
        <v>0</v>
      </c>
      <c r="AD13" s="193">
        <f t="shared" si="11"/>
        <v>1000</v>
      </c>
      <c r="AE13" s="193">
        <f t="shared" si="11"/>
        <v>0</v>
      </c>
      <c r="AF13" s="193">
        <f t="shared" si="11"/>
        <v>0</v>
      </c>
      <c r="AG13" s="193">
        <f t="shared" si="11"/>
        <v>0</v>
      </c>
      <c r="AH13" s="64"/>
      <c r="AI13" s="20"/>
    </row>
    <row r="14" spans="1:35" s="21" customFormat="1" ht="48" customHeight="1" x14ac:dyDescent="0.25">
      <c r="A14" s="539"/>
      <c r="B14" s="613" t="s">
        <v>302</v>
      </c>
      <c r="C14" s="125" t="s">
        <v>20</v>
      </c>
      <c r="D14" s="70">
        <f>D15</f>
        <v>1000</v>
      </c>
      <c r="E14" s="70">
        <f>E15</f>
        <v>0</v>
      </c>
      <c r="F14" s="70">
        <f t="shared" ref="F14:G14" si="12">F15</f>
        <v>0</v>
      </c>
      <c r="G14" s="70">
        <f t="shared" si="12"/>
        <v>0</v>
      </c>
      <c r="H14" s="58">
        <f t="shared" si="8"/>
        <v>0</v>
      </c>
      <c r="I14" s="58">
        <f t="shared" si="9"/>
        <v>0</v>
      </c>
      <c r="J14" s="58">
        <f>J15</f>
        <v>0</v>
      </c>
      <c r="K14" s="58">
        <f t="shared" ref="K14:AG14" si="13">K15</f>
        <v>0</v>
      </c>
      <c r="L14" s="58">
        <f t="shared" si="13"/>
        <v>0</v>
      </c>
      <c r="M14" s="58">
        <f t="shared" si="13"/>
        <v>0</v>
      </c>
      <c r="N14" s="58">
        <f t="shared" si="13"/>
        <v>0</v>
      </c>
      <c r="O14" s="58">
        <f t="shared" si="13"/>
        <v>0</v>
      </c>
      <c r="P14" s="58">
        <f t="shared" si="13"/>
        <v>0</v>
      </c>
      <c r="Q14" s="58">
        <f t="shared" si="13"/>
        <v>0</v>
      </c>
      <c r="R14" s="58">
        <f t="shared" si="13"/>
        <v>0</v>
      </c>
      <c r="S14" s="58">
        <f t="shared" si="13"/>
        <v>0</v>
      </c>
      <c r="T14" s="58">
        <f t="shared" si="13"/>
        <v>0</v>
      </c>
      <c r="U14" s="58">
        <f t="shared" si="13"/>
        <v>0</v>
      </c>
      <c r="V14" s="58">
        <f t="shared" si="13"/>
        <v>0</v>
      </c>
      <c r="W14" s="58">
        <f t="shared" si="13"/>
        <v>0</v>
      </c>
      <c r="X14" s="58">
        <f t="shared" si="13"/>
        <v>0</v>
      </c>
      <c r="Y14" s="58">
        <f t="shared" si="13"/>
        <v>0</v>
      </c>
      <c r="Z14" s="58">
        <f t="shared" si="13"/>
        <v>0</v>
      </c>
      <c r="AA14" s="58">
        <f t="shared" si="13"/>
        <v>0</v>
      </c>
      <c r="AB14" s="58">
        <f t="shared" si="13"/>
        <v>0</v>
      </c>
      <c r="AC14" s="58">
        <f t="shared" si="13"/>
        <v>0</v>
      </c>
      <c r="AD14" s="58">
        <f t="shared" si="13"/>
        <v>1000</v>
      </c>
      <c r="AE14" s="58">
        <f t="shared" si="13"/>
        <v>0</v>
      </c>
      <c r="AF14" s="58">
        <f t="shared" si="13"/>
        <v>0</v>
      </c>
      <c r="AG14" s="58">
        <f t="shared" si="13"/>
        <v>0</v>
      </c>
      <c r="AH14" s="273" t="s">
        <v>327</v>
      </c>
      <c r="AI14" s="23"/>
    </row>
    <row r="15" spans="1:35" s="22" customFormat="1" ht="61.9" customHeight="1" x14ac:dyDescent="0.25">
      <c r="A15" s="541"/>
      <c r="B15" s="617"/>
      <c r="C15" s="126" t="s">
        <v>21</v>
      </c>
      <c r="D15" s="74">
        <f>SUM(J15,L15,N15,P15,R15,T15,V15,X15,Z15,AB15,AD15,AF15)</f>
        <v>1000</v>
      </c>
      <c r="E15" s="62">
        <f>J15+L15</f>
        <v>0</v>
      </c>
      <c r="F15" s="62">
        <f>G15</f>
        <v>0</v>
      </c>
      <c r="G15" s="62">
        <f>SUM(K15,M15,O15,Q15,S15,U15,W15,Y15,AA15,AC15,AE15,AG15)</f>
        <v>0</v>
      </c>
      <c r="H15" s="62">
        <f t="shared" si="8"/>
        <v>0</v>
      </c>
      <c r="I15" s="62">
        <f t="shared" si="9"/>
        <v>0</v>
      </c>
      <c r="J15" s="67">
        <v>0</v>
      </c>
      <c r="K15" s="67">
        <v>0</v>
      </c>
      <c r="L15" s="67">
        <v>0</v>
      </c>
      <c r="M15" s="67">
        <v>0</v>
      </c>
      <c r="N15" s="67">
        <v>0</v>
      </c>
      <c r="O15" s="67">
        <v>0</v>
      </c>
      <c r="P15" s="67">
        <v>0</v>
      </c>
      <c r="Q15" s="67">
        <v>0</v>
      </c>
      <c r="R15" s="67">
        <v>0</v>
      </c>
      <c r="S15" s="67">
        <v>0</v>
      </c>
      <c r="T15" s="67">
        <v>0</v>
      </c>
      <c r="U15" s="67">
        <v>0</v>
      </c>
      <c r="V15" s="67">
        <v>0</v>
      </c>
      <c r="W15" s="67">
        <v>0</v>
      </c>
      <c r="X15" s="67">
        <v>0</v>
      </c>
      <c r="Y15" s="67">
        <v>0</v>
      </c>
      <c r="Z15" s="67">
        <v>0</v>
      </c>
      <c r="AA15" s="67">
        <v>0</v>
      </c>
      <c r="AB15" s="67">
        <v>0</v>
      </c>
      <c r="AC15" s="67">
        <v>0</v>
      </c>
      <c r="AD15" s="67">
        <v>1000</v>
      </c>
      <c r="AE15" s="67">
        <v>0</v>
      </c>
      <c r="AF15" s="67">
        <v>0</v>
      </c>
      <c r="AG15" s="67">
        <v>0</v>
      </c>
      <c r="AH15" s="274"/>
      <c r="AI15" s="20"/>
    </row>
    <row r="16" spans="1:35" s="21" customFormat="1" ht="375.6" customHeight="1" x14ac:dyDescent="0.25">
      <c r="A16" s="539"/>
      <c r="B16" s="613" t="s">
        <v>303</v>
      </c>
      <c r="C16" s="125" t="s">
        <v>20</v>
      </c>
      <c r="D16" s="70">
        <f>D17</f>
        <v>6499.4</v>
      </c>
      <c r="E16" s="70">
        <f t="shared" ref="E16:G16" si="14">E17</f>
        <v>6499.4</v>
      </c>
      <c r="F16" s="70">
        <f t="shared" si="14"/>
        <v>6499.4</v>
      </c>
      <c r="G16" s="70">
        <f t="shared" si="14"/>
        <v>6499.4</v>
      </c>
      <c r="H16" s="58">
        <f t="shared" si="8"/>
        <v>100</v>
      </c>
      <c r="I16" s="58">
        <f t="shared" si="9"/>
        <v>100</v>
      </c>
      <c r="J16" s="58">
        <f>J17</f>
        <v>6499.4</v>
      </c>
      <c r="K16" s="58">
        <f t="shared" ref="K16:AG16" si="15">K17</f>
        <v>6499.4</v>
      </c>
      <c r="L16" s="58">
        <f t="shared" si="15"/>
        <v>0</v>
      </c>
      <c r="M16" s="58">
        <f t="shared" si="15"/>
        <v>0</v>
      </c>
      <c r="N16" s="58">
        <f t="shared" si="15"/>
        <v>0</v>
      </c>
      <c r="O16" s="58">
        <f t="shared" si="15"/>
        <v>0</v>
      </c>
      <c r="P16" s="58">
        <f t="shared" si="15"/>
        <v>0</v>
      </c>
      <c r="Q16" s="58">
        <f t="shared" si="15"/>
        <v>0</v>
      </c>
      <c r="R16" s="58">
        <f t="shared" si="15"/>
        <v>0</v>
      </c>
      <c r="S16" s="58">
        <f t="shared" si="15"/>
        <v>0</v>
      </c>
      <c r="T16" s="58">
        <f t="shared" si="15"/>
        <v>0</v>
      </c>
      <c r="U16" s="58">
        <f t="shared" si="15"/>
        <v>0</v>
      </c>
      <c r="V16" s="58">
        <f t="shared" si="15"/>
        <v>0</v>
      </c>
      <c r="W16" s="58">
        <f t="shared" si="15"/>
        <v>0</v>
      </c>
      <c r="X16" s="58">
        <f t="shared" si="15"/>
        <v>0</v>
      </c>
      <c r="Y16" s="58">
        <f t="shared" si="15"/>
        <v>0</v>
      </c>
      <c r="Z16" s="58">
        <f t="shared" si="15"/>
        <v>0</v>
      </c>
      <c r="AA16" s="58">
        <f t="shared" si="15"/>
        <v>0</v>
      </c>
      <c r="AB16" s="58">
        <f t="shared" si="15"/>
        <v>0</v>
      </c>
      <c r="AC16" s="58">
        <f t="shared" si="15"/>
        <v>0</v>
      </c>
      <c r="AD16" s="58">
        <f t="shared" si="15"/>
        <v>0</v>
      </c>
      <c r="AE16" s="58">
        <f t="shared" si="15"/>
        <v>0</v>
      </c>
      <c r="AF16" s="58">
        <f t="shared" si="15"/>
        <v>0</v>
      </c>
      <c r="AG16" s="58">
        <f t="shared" si="15"/>
        <v>0</v>
      </c>
      <c r="AH16" s="273" t="s">
        <v>397</v>
      </c>
      <c r="AI16" s="23"/>
    </row>
    <row r="17" spans="1:35" s="22" customFormat="1" ht="67.900000000000006" customHeight="1" x14ac:dyDescent="0.25">
      <c r="A17" s="541"/>
      <c r="B17" s="617"/>
      <c r="C17" s="126" t="s">
        <v>21</v>
      </c>
      <c r="D17" s="74">
        <f>SUM(J17,L17,N17,P17,R17,T17,V17,X17,Z17,AB17,AD17,AF17)</f>
        <v>6499.4</v>
      </c>
      <c r="E17" s="62">
        <f>J17+L17</f>
        <v>6499.4</v>
      </c>
      <c r="F17" s="62">
        <f>G17</f>
        <v>6499.4</v>
      </c>
      <c r="G17" s="62">
        <f>SUM(K17,M17,O17,Q17,S17,U17,W17,Y17,AA17,AC17,AE17,AG17)</f>
        <v>6499.4</v>
      </c>
      <c r="H17" s="62">
        <f t="shared" si="8"/>
        <v>100</v>
      </c>
      <c r="I17" s="62">
        <f t="shared" si="9"/>
        <v>100</v>
      </c>
      <c r="J17" s="67">
        <v>6499.4</v>
      </c>
      <c r="K17" s="67">
        <v>6499.4</v>
      </c>
      <c r="L17" s="67">
        <v>0</v>
      </c>
      <c r="M17" s="67">
        <v>0</v>
      </c>
      <c r="N17" s="67">
        <v>0</v>
      </c>
      <c r="O17" s="67">
        <v>0</v>
      </c>
      <c r="P17" s="67">
        <v>0</v>
      </c>
      <c r="Q17" s="67">
        <v>0</v>
      </c>
      <c r="R17" s="67">
        <v>0</v>
      </c>
      <c r="S17" s="67">
        <v>0</v>
      </c>
      <c r="T17" s="67">
        <v>0</v>
      </c>
      <c r="U17" s="67">
        <v>0</v>
      </c>
      <c r="V17" s="67">
        <v>0</v>
      </c>
      <c r="W17" s="67">
        <v>0</v>
      </c>
      <c r="X17" s="67">
        <v>0</v>
      </c>
      <c r="Y17" s="67">
        <v>0</v>
      </c>
      <c r="Z17" s="67">
        <v>0</v>
      </c>
      <c r="AA17" s="67">
        <v>0</v>
      </c>
      <c r="AB17" s="67">
        <v>0</v>
      </c>
      <c r="AC17" s="67">
        <v>0</v>
      </c>
      <c r="AD17" s="67">
        <v>0</v>
      </c>
      <c r="AE17" s="67">
        <v>0</v>
      </c>
      <c r="AF17" s="67">
        <v>0</v>
      </c>
      <c r="AG17" s="67">
        <v>0</v>
      </c>
      <c r="AH17" s="64"/>
      <c r="AI17" s="20"/>
    </row>
    <row r="18" spans="1:35" s="21" customFormat="1" ht="40.5" customHeight="1" x14ac:dyDescent="0.25">
      <c r="A18" s="539"/>
      <c r="B18" s="613" t="s">
        <v>304</v>
      </c>
      <c r="C18" s="125" t="s">
        <v>20</v>
      </c>
      <c r="D18" s="70">
        <f>D19</f>
        <v>300</v>
      </c>
      <c r="E18" s="70">
        <f>E19</f>
        <v>0</v>
      </c>
      <c r="F18" s="70">
        <f t="shared" ref="F18:G18" si="16">F19</f>
        <v>0</v>
      </c>
      <c r="G18" s="70">
        <f t="shared" si="16"/>
        <v>0</v>
      </c>
      <c r="H18" s="58">
        <f t="shared" si="8"/>
        <v>0</v>
      </c>
      <c r="I18" s="58">
        <f t="shared" si="9"/>
        <v>0</v>
      </c>
      <c r="J18" s="58">
        <f>J19</f>
        <v>0</v>
      </c>
      <c r="K18" s="58">
        <f t="shared" ref="K18:AG18" si="17">K19</f>
        <v>0</v>
      </c>
      <c r="L18" s="58">
        <f t="shared" si="17"/>
        <v>0</v>
      </c>
      <c r="M18" s="58">
        <f t="shared" si="17"/>
        <v>0</v>
      </c>
      <c r="N18" s="58">
        <f t="shared" si="17"/>
        <v>0</v>
      </c>
      <c r="O18" s="58">
        <f t="shared" si="17"/>
        <v>0</v>
      </c>
      <c r="P18" s="58">
        <f t="shared" si="17"/>
        <v>300</v>
      </c>
      <c r="Q18" s="58">
        <f t="shared" si="17"/>
        <v>0</v>
      </c>
      <c r="R18" s="58">
        <f t="shared" si="17"/>
        <v>0</v>
      </c>
      <c r="S18" s="58">
        <f t="shared" si="17"/>
        <v>0</v>
      </c>
      <c r="T18" s="58">
        <f t="shared" si="17"/>
        <v>0</v>
      </c>
      <c r="U18" s="58">
        <f t="shared" si="17"/>
        <v>0</v>
      </c>
      <c r="V18" s="58">
        <f t="shared" si="17"/>
        <v>0</v>
      </c>
      <c r="W18" s="58">
        <f t="shared" si="17"/>
        <v>0</v>
      </c>
      <c r="X18" s="58">
        <f t="shared" si="17"/>
        <v>0</v>
      </c>
      <c r="Y18" s="58">
        <f t="shared" si="17"/>
        <v>0</v>
      </c>
      <c r="Z18" s="58">
        <f t="shared" si="17"/>
        <v>0</v>
      </c>
      <c r="AA18" s="58">
        <f t="shared" si="17"/>
        <v>0</v>
      </c>
      <c r="AB18" s="58">
        <f t="shared" si="17"/>
        <v>0</v>
      </c>
      <c r="AC18" s="58">
        <f t="shared" si="17"/>
        <v>0</v>
      </c>
      <c r="AD18" s="58">
        <f t="shared" si="17"/>
        <v>0</v>
      </c>
      <c r="AE18" s="58">
        <f t="shared" si="17"/>
        <v>0</v>
      </c>
      <c r="AF18" s="58">
        <f t="shared" si="17"/>
        <v>0</v>
      </c>
      <c r="AG18" s="58">
        <f t="shared" si="17"/>
        <v>0</v>
      </c>
      <c r="AH18" s="273" t="s">
        <v>328</v>
      </c>
      <c r="AI18" s="23"/>
    </row>
    <row r="19" spans="1:35" s="22" customFormat="1" ht="64.900000000000006" customHeight="1" x14ac:dyDescent="0.25">
      <c r="A19" s="541"/>
      <c r="B19" s="617"/>
      <c r="C19" s="126" t="s">
        <v>21</v>
      </c>
      <c r="D19" s="74">
        <f>SUM(J19,L19,N19,P19,R19,T19,V19,X19,Z19,AB19,AD19,AF19)</f>
        <v>300</v>
      </c>
      <c r="E19" s="62">
        <f>J19+L19</f>
        <v>0</v>
      </c>
      <c r="F19" s="62">
        <f>G19</f>
        <v>0</v>
      </c>
      <c r="G19" s="62">
        <f>SUM(K19,M19,O19,Q19,S19,U19,W19,Y19,AA19,AC19,AE19,AG19)</f>
        <v>0</v>
      </c>
      <c r="H19" s="62">
        <f t="shared" si="8"/>
        <v>0</v>
      </c>
      <c r="I19" s="62">
        <f t="shared" si="9"/>
        <v>0</v>
      </c>
      <c r="J19" s="67">
        <v>0</v>
      </c>
      <c r="K19" s="67">
        <v>0</v>
      </c>
      <c r="L19" s="67">
        <v>0</v>
      </c>
      <c r="M19" s="67">
        <v>0</v>
      </c>
      <c r="N19" s="67">
        <v>0</v>
      </c>
      <c r="O19" s="67">
        <v>0</v>
      </c>
      <c r="P19" s="67">
        <v>300</v>
      </c>
      <c r="Q19" s="67">
        <v>0</v>
      </c>
      <c r="R19" s="67">
        <v>0</v>
      </c>
      <c r="S19" s="67">
        <v>0</v>
      </c>
      <c r="T19" s="67">
        <v>0</v>
      </c>
      <c r="U19" s="67">
        <v>0</v>
      </c>
      <c r="V19" s="67">
        <v>0</v>
      </c>
      <c r="W19" s="67">
        <v>0</v>
      </c>
      <c r="X19" s="67">
        <v>0</v>
      </c>
      <c r="Y19" s="67">
        <v>0</v>
      </c>
      <c r="Z19" s="67">
        <v>0</v>
      </c>
      <c r="AA19" s="67">
        <v>0</v>
      </c>
      <c r="AB19" s="67">
        <v>0</v>
      </c>
      <c r="AC19" s="67">
        <v>0</v>
      </c>
      <c r="AD19" s="67">
        <v>0</v>
      </c>
      <c r="AE19" s="67">
        <v>0</v>
      </c>
      <c r="AF19" s="67">
        <v>0</v>
      </c>
      <c r="AG19" s="67">
        <v>0</v>
      </c>
      <c r="AH19" s="64"/>
      <c r="AI19" s="20"/>
    </row>
    <row r="20" spans="1:35" s="22" customFormat="1" ht="29.25" customHeight="1" x14ac:dyDescent="0.25">
      <c r="A20" s="161"/>
      <c r="B20" s="536" t="s">
        <v>305</v>
      </c>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8"/>
      <c r="AH20" s="64"/>
      <c r="AI20" s="20"/>
    </row>
    <row r="21" spans="1:35" s="21" customFormat="1" ht="55.5" customHeight="1" x14ac:dyDescent="0.25">
      <c r="A21" s="539" t="s">
        <v>38</v>
      </c>
      <c r="B21" s="542" t="s">
        <v>306</v>
      </c>
      <c r="C21" s="125" t="s">
        <v>20</v>
      </c>
      <c r="D21" s="70">
        <f>D22</f>
        <v>1717</v>
      </c>
      <c r="E21" s="70">
        <f>E22</f>
        <v>1617</v>
      </c>
      <c r="F21" s="70">
        <f t="shared" ref="F21:G21" si="18">F22</f>
        <v>1501.5</v>
      </c>
      <c r="G21" s="70">
        <f t="shared" si="18"/>
        <v>1501.5</v>
      </c>
      <c r="H21" s="58">
        <f t="shared" si="8"/>
        <v>87.449039021549211</v>
      </c>
      <c r="I21" s="58">
        <f t="shared" si="9"/>
        <v>92.857142857142861</v>
      </c>
      <c r="J21" s="58">
        <f>J22</f>
        <v>0</v>
      </c>
      <c r="K21" s="58">
        <f t="shared" ref="K21:AG21" si="19">K22</f>
        <v>0</v>
      </c>
      <c r="L21" s="58">
        <f t="shared" si="19"/>
        <v>0</v>
      </c>
      <c r="M21" s="58">
        <f t="shared" si="19"/>
        <v>0</v>
      </c>
      <c r="N21" s="58">
        <f t="shared" si="19"/>
        <v>0</v>
      </c>
      <c r="O21" s="58">
        <f t="shared" si="19"/>
        <v>0</v>
      </c>
      <c r="P21" s="58">
        <f t="shared" si="19"/>
        <v>0</v>
      </c>
      <c r="Q21" s="58">
        <f t="shared" si="19"/>
        <v>0</v>
      </c>
      <c r="R21" s="58">
        <f t="shared" si="19"/>
        <v>0</v>
      </c>
      <c r="S21" s="58">
        <f t="shared" si="19"/>
        <v>0</v>
      </c>
      <c r="T21" s="58">
        <f t="shared" si="19"/>
        <v>0</v>
      </c>
      <c r="U21" s="58">
        <f t="shared" si="19"/>
        <v>0</v>
      </c>
      <c r="V21" s="58">
        <f t="shared" si="19"/>
        <v>0</v>
      </c>
      <c r="W21" s="58">
        <f t="shared" si="19"/>
        <v>0</v>
      </c>
      <c r="X21" s="58">
        <f t="shared" si="19"/>
        <v>1617</v>
      </c>
      <c r="Y21" s="58">
        <f t="shared" si="19"/>
        <v>1501.5</v>
      </c>
      <c r="Z21" s="58">
        <f t="shared" si="19"/>
        <v>0</v>
      </c>
      <c r="AA21" s="58">
        <f t="shared" si="19"/>
        <v>0</v>
      </c>
      <c r="AB21" s="58">
        <f t="shared" si="19"/>
        <v>0</v>
      </c>
      <c r="AC21" s="58">
        <f t="shared" si="19"/>
        <v>0</v>
      </c>
      <c r="AD21" s="58">
        <f t="shared" si="19"/>
        <v>0</v>
      </c>
      <c r="AE21" s="58">
        <f t="shared" si="19"/>
        <v>0</v>
      </c>
      <c r="AF21" s="58">
        <f t="shared" si="19"/>
        <v>100</v>
      </c>
      <c r="AG21" s="58">
        <f t="shared" si="19"/>
        <v>0</v>
      </c>
      <c r="AH21" s="60"/>
      <c r="AI21" s="23"/>
    </row>
    <row r="22" spans="1:35" s="22" customFormat="1" ht="95.45" customHeight="1" x14ac:dyDescent="0.25">
      <c r="A22" s="541"/>
      <c r="B22" s="544"/>
      <c r="C22" s="126" t="s">
        <v>21</v>
      </c>
      <c r="D22" s="74">
        <f>SUM(J22,L22,N22,P22,R22,T22,V22,X22,Z22,AB22,AD22,AF22)</f>
        <v>1717</v>
      </c>
      <c r="E22" s="67">
        <f>J22+L22+N22+P22+R22+T22+V22+X22+Z22+AB22</f>
        <v>1617</v>
      </c>
      <c r="F22" s="67">
        <f>G22</f>
        <v>1501.5</v>
      </c>
      <c r="G22" s="67">
        <f>SUM(K22,M22,O22,Q22,S22,U22,W22,Y22,AA22,AC22,AE22,AG22)</f>
        <v>1501.5</v>
      </c>
      <c r="H22" s="62">
        <f t="shared" si="8"/>
        <v>87.449039021549211</v>
      </c>
      <c r="I22" s="62">
        <f t="shared" si="9"/>
        <v>92.857142857142861</v>
      </c>
      <c r="J22" s="67">
        <v>0</v>
      </c>
      <c r="K22" s="67">
        <v>0</v>
      </c>
      <c r="L22" s="67">
        <v>0</v>
      </c>
      <c r="M22" s="67">
        <v>0</v>
      </c>
      <c r="N22" s="67">
        <v>0</v>
      </c>
      <c r="O22" s="67">
        <v>0</v>
      </c>
      <c r="P22" s="67">
        <v>0</v>
      </c>
      <c r="Q22" s="67">
        <v>0</v>
      </c>
      <c r="R22" s="67">
        <v>0</v>
      </c>
      <c r="S22" s="67">
        <v>0</v>
      </c>
      <c r="T22" s="67">
        <v>0</v>
      </c>
      <c r="U22" s="67">
        <v>0</v>
      </c>
      <c r="V22" s="67">
        <v>0</v>
      </c>
      <c r="W22" s="67">
        <v>0</v>
      </c>
      <c r="X22" s="67">
        <v>1617</v>
      </c>
      <c r="Y22" s="67">
        <v>1501.5</v>
      </c>
      <c r="Z22" s="67">
        <v>0</v>
      </c>
      <c r="AA22" s="67">
        <v>0</v>
      </c>
      <c r="AB22" s="67">
        <v>0</v>
      </c>
      <c r="AC22" s="67">
        <v>0</v>
      </c>
      <c r="AD22" s="67">
        <v>0</v>
      </c>
      <c r="AE22" s="67">
        <v>0</v>
      </c>
      <c r="AF22" s="67">
        <v>100</v>
      </c>
      <c r="AG22" s="67">
        <v>0</v>
      </c>
      <c r="AH22" s="64" t="s">
        <v>399</v>
      </c>
      <c r="AI22" s="20"/>
    </row>
    <row r="23" spans="1:35" s="22" customFormat="1" ht="27.6" customHeight="1" x14ac:dyDescent="0.25">
      <c r="A23" s="161"/>
      <c r="B23" s="536" t="s">
        <v>307</v>
      </c>
      <c r="C23" s="537"/>
      <c r="D23" s="537"/>
      <c r="E23" s="537"/>
      <c r="F23" s="537"/>
      <c r="G23" s="537"/>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8"/>
      <c r="AH23" s="64"/>
      <c r="AI23" s="20"/>
    </row>
    <row r="24" spans="1:35" s="169" customFormat="1" ht="55.5" customHeight="1" x14ac:dyDescent="0.25">
      <c r="A24" s="684" t="s">
        <v>265</v>
      </c>
      <c r="B24" s="686" t="s">
        <v>308</v>
      </c>
      <c r="C24" s="194" t="s">
        <v>20</v>
      </c>
      <c r="D24" s="195">
        <f>D25</f>
        <v>18765.598999999998</v>
      </c>
      <c r="E24" s="195">
        <f t="shared" ref="E24:G24" si="20">E25</f>
        <v>15799.8665</v>
      </c>
      <c r="F24" s="195">
        <f>F25</f>
        <v>12679.754999999997</v>
      </c>
      <c r="G24" s="195">
        <f t="shared" si="20"/>
        <v>12535.080000000002</v>
      </c>
      <c r="H24" s="195">
        <f t="shared" ref="H24:H25" si="21">IFERROR(G24/D24*100,0)</f>
        <v>66.798187470594485</v>
      </c>
      <c r="I24" s="195">
        <f t="shared" ref="I24:I25" si="22">IFERROR(G24/E24*100,0)</f>
        <v>79.336619711312125</v>
      </c>
      <c r="J24" s="195">
        <f>J25</f>
        <v>1658.1</v>
      </c>
      <c r="K24" s="195">
        <f t="shared" ref="K24:AG24" si="23">K25</f>
        <v>684.57500000000005</v>
      </c>
      <c r="L24" s="195">
        <f t="shared" si="23"/>
        <v>1365.44</v>
      </c>
      <c r="M24" s="195">
        <f>M25</f>
        <v>1630.575</v>
      </c>
      <c r="N24" s="195">
        <f t="shared" si="23"/>
        <v>1499.29</v>
      </c>
      <c r="O24" s="195">
        <f t="shared" si="23"/>
        <v>1420.9749999999999</v>
      </c>
      <c r="P24" s="195">
        <f t="shared" si="23"/>
        <v>1712.4780000000001</v>
      </c>
      <c r="Q24" s="195">
        <f t="shared" si="23"/>
        <v>1534.575</v>
      </c>
      <c r="R24" s="195">
        <f t="shared" si="23"/>
        <v>1525.0929999999998</v>
      </c>
      <c r="S24" s="195">
        <f t="shared" si="23"/>
        <v>1322.0149999999999</v>
      </c>
      <c r="T24" s="195">
        <f t="shared" si="23"/>
        <v>1639.8340000000001</v>
      </c>
      <c r="U24" s="195">
        <f t="shared" si="23"/>
        <v>1316.7349999999999</v>
      </c>
      <c r="V24" s="195">
        <f t="shared" si="23"/>
        <v>1972.2149999999999</v>
      </c>
      <c r="W24" s="195">
        <f t="shared" si="23"/>
        <v>1777.47</v>
      </c>
      <c r="X24" s="195">
        <f t="shared" si="23"/>
        <v>1597.934</v>
      </c>
      <c r="Y24" s="195">
        <f t="shared" si="23"/>
        <v>1448.085</v>
      </c>
      <c r="Z24" s="195">
        <f t="shared" si="23"/>
        <v>1413.174</v>
      </c>
      <c r="AA24" s="195">
        <f t="shared" si="23"/>
        <v>1400.075</v>
      </c>
      <c r="AB24" s="195">
        <f t="shared" si="23"/>
        <v>1416.309</v>
      </c>
      <c r="AC24" s="195">
        <f t="shared" si="23"/>
        <v>0</v>
      </c>
      <c r="AD24" s="195">
        <f t="shared" si="23"/>
        <v>1413.933</v>
      </c>
      <c r="AE24" s="195">
        <f t="shared" si="23"/>
        <v>0</v>
      </c>
      <c r="AF24" s="195">
        <f t="shared" si="23"/>
        <v>1551.799</v>
      </c>
      <c r="AG24" s="195">
        <f t="shared" si="23"/>
        <v>0</v>
      </c>
      <c r="AH24" s="200"/>
      <c r="AI24" s="168"/>
    </row>
    <row r="25" spans="1:35" s="175" customFormat="1" ht="183" customHeight="1" x14ac:dyDescent="0.25">
      <c r="A25" s="685"/>
      <c r="B25" s="687"/>
      <c r="C25" s="196" t="s">
        <v>21</v>
      </c>
      <c r="D25" s="197">
        <f>SUM(J25,L25,N25,P25,R25,T25,V25,X25,Z25,AB25,AD25,AF25)</f>
        <v>18765.598999999998</v>
      </c>
      <c r="E25" s="197">
        <f>E26+E27</f>
        <v>15799.8665</v>
      </c>
      <c r="F25" s="197">
        <f>F26+F27</f>
        <v>12679.754999999997</v>
      </c>
      <c r="G25" s="197">
        <f>SUM(K25,M25,O25,Q25,S25,U25,W25,Y25,AA25,AC25,AE25,AG25)</f>
        <v>12535.080000000002</v>
      </c>
      <c r="H25" s="197">
        <f t="shared" si="21"/>
        <v>66.798187470594485</v>
      </c>
      <c r="I25" s="197">
        <f t="shared" si="22"/>
        <v>79.336619711312125</v>
      </c>
      <c r="J25" s="198">
        <v>1658.1</v>
      </c>
      <c r="K25" s="198">
        <f>K26+K27</f>
        <v>684.57500000000005</v>
      </c>
      <c r="L25" s="198">
        <v>1365.44</v>
      </c>
      <c r="M25" s="198">
        <f>M26+M27</f>
        <v>1630.575</v>
      </c>
      <c r="N25" s="198">
        <v>1499.29</v>
      </c>
      <c r="O25" s="198">
        <f t="shared" ref="O25:AA25" si="24">O26+O27</f>
        <v>1420.9749999999999</v>
      </c>
      <c r="P25" s="198">
        <f t="shared" si="24"/>
        <v>1712.4780000000001</v>
      </c>
      <c r="Q25" s="198">
        <f t="shared" si="24"/>
        <v>1534.575</v>
      </c>
      <c r="R25" s="198">
        <f t="shared" si="24"/>
        <v>1525.0929999999998</v>
      </c>
      <c r="S25" s="198">
        <f t="shared" si="24"/>
        <v>1322.0149999999999</v>
      </c>
      <c r="T25" s="198">
        <f t="shared" si="24"/>
        <v>1639.8340000000001</v>
      </c>
      <c r="U25" s="198">
        <f t="shared" si="24"/>
        <v>1316.7349999999999</v>
      </c>
      <c r="V25" s="198">
        <f t="shared" si="24"/>
        <v>1972.2149999999999</v>
      </c>
      <c r="W25" s="198">
        <f t="shared" si="24"/>
        <v>1777.47</v>
      </c>
      <c r="X25" s="198">
        <f>X26+X27</f>
        <v>1597.934</v>
      </c>
      <c r="Y25" s="198">
        <f t="shared" si="24"/>
        <v>1448.085</v>
      </c>
      <c r="Z25" s="198">
        <f>Z26+Z27</f>
        <v>1413.174</v>
      </c>
      <c r="AA25" s="198">
        <f t="shared" si="24"/>
        <v>1400.075</v>
      </c>
      <c r="AB25" s="198">
        <f>AB26+AB27</f>
        <v>1416.309</v>
      </c>
      <c r="AC25" s="198">
        <v>0</v>
      </c>
      <c r="AD25" s="198">
        <f>AD26+AD27</f>
        <v>1413.933</v>
      </c>
      <c r="AE25" s="198">
        <v>0</v>
      </c>
      <c r="AF25" s="198">
        <f>AF26+AF27</f>
        <v>1551.799</v>
      </c>
      <c r="AG25" s="198">
        <v>0</v>
      </c>
      <c r="AH25" s="201"/>
      <c r="AI25" s="174"/>
    </row>
    <row r="26" spans="1:35" s="175" customFormat="1" ht="95.45" customHeight="1" x14ac:dyDescent="0.25">
      <c r="A26" s="319"/>
      <c r="B26" s="314" t="s">
        <v>340</v>
      </c>
      <c r="C26" s="196" t="s">
        <v>21</v>
      </c>
      <c r="D26" s="197">
        <f>J26+L26+N26+P26+R26+T26+V26+X26+Z26+AB26+AD26+AF26</f>
        <v>1926.5999999999997</v>
      </c>
      <c r="E26" s="197">
        <f>J26+L26+N26+P26+R26+T26+V26+X26+Z26+AB26</f>
        <v>1637.2499999999998</v>
      </c>
      <c r="F26" s="197">
        <f>K26+M26+O26+Q26+S26+U26+W26+Y26+AA26+AC26+AE26+AG26</f>
        <v>1637.2549999999999</v>
      </c>
      <c r="G26" s="197">
        <f>K26+M26+O26+Q26+S26+U26+W26+Y26+AA26+AA26</f>
        <v>1637.2549999999999</v>
      </c>
      <c r="H26" s="197">
        <f t="shared" ref="H26:H27" si="25">IFERROR(G26/D26*100,0)</f>
        <v>84.98157375687741</v>
      </c>
      <c r="I26" s="197">
        <f t="shared" ref="I26:I27" si="26">IFERROR(G26/E26*100,0)</f>
        <v>100.00030539013591</v>
      </c>
      <c r="J26" s="198">
        <v>335.17500000000001</v>
      </c>
      <c r="K26" s="198">
        <v>335.17500000000001</v>
      </c>
      <c r="L26" s="198">
        <v>144.67500000000001</v>
      </c>
      <c r="M26" s="198">
        <v>144.67500000000001</v>
      </c>
      <c r="N26" s="198">
        <v>144.67500000000001</v>
      </c>
      <c r="O26" s="198">
        <v>144.67500000000001</v>
      </c>
      <c r="P26" s="198">
        <v>144.67500000000001</v>
      </c>
      <c r="Q26" s="198">
        <v>144.67500000000001</v>
      </c>
      <c r="R26" s="198">
        <v>144.67500000000001</v>
      </c>
      <c r="S26" s="198">
        <v>144.67500000000001</v>
      </c>
      <c r="T26" s="198">
        <v>144.67500000000001</v>
      </c>
      <c r="U26" s="198">
        <v>144.67500000000001</v>
      </c>
      <c r="V26" s="198">
        <v>144.67500000000001</v>
      </c>
      <c r="W26" s="198">
        <v>144.68</v>
      </c>
      <c r="X26" s="198">
        <v>144.67500000000001</v>
      </c>
      <c r="Y26" s="198">
        <v>144.67500000000001</v>
      </c>
      <c r="Z26" s="198">
        <v>144.67500000000001</v>
      </c>
      <c r="AA26" s="198">
        <v>144.67500000000001</v>
      </c>
      <c r="AB26" s="198">
        <v>144.67500000000001</v>
      </c>
      <c r="AC26" s="198">
        <v>144.67500000000001</v>
      </c>
      <c r="AD26" s="198">
        <v>144.67500000000001</v>
      </c>
      <c r="AE26" s="198"/>
      <c r="AF26" s="198">
        <v>144.67500000000001</v>
      </c>
      <c r="AG26" s="198"/>
      <c r="AH26" s="313"/>
      <c r="AI26" s="174"/>
    </row>
    <row r="27" spans="1:35" s="175" customFormat="1" ht="135" customHeight="1" x14ac:dyDescent="0.25">
      <c r="A27" s="312"/>
      <c r="B27" s="318" t="s">
        <v>341</v>
      </c>
      <c r="C27" s="315" t="s">
        <v>21</v>
      </c>
      <c r="D27" s="317">
        <f>J27+L27+N27+P27+R27+T27+V27+X27+Z27+AB27+AD27+AF27</f>
        <v>16838.998500000002</v>
      </c>
      <c r="E27" s="317">
        <f>J27+L27+N27+P27+R27+T27+V27+X27+Z27+AB27</f>
        <v>14162.6165</v>
      </c>
      <c r="F27" s="316">
        <f>K27+M27+O27+Q27+S27+U27+W27+Y27+AA27+AC27+AE27+AG27</f>
        <v>11042.499999999998</v>
      </c>
      <c r="G27" s="316">
        <f>K27+M27+O27+Q27+S27+U27+W27+Y27+AA27+AC27</f>
        <v>11042.499999999998</v>
      </c>
      <c r="H27" s="316">
        <f t="shared" si="25"/>
        <v>65.576940338821203</v>
      </c>
      <c r="I27" s="316">
        <f t="shared" si="26"/>
        <v>77.969349801994554</v>
      </c>
      <c r="J27" s="316">
        <v>1322.9159999999999</v>
      </c>
      <c r="K27" s="317">
        <v>349.4</v>
      </c>
      <c r="L27" s="316">
        <v>1220.7739999999999</v>
      </c>
      <c r="M27" s="317">
        <v>1485.9</v>
      </c>
      <c r="N27" s="317">
        <v>1354.6144999999999</v>
      </c>
      <c r="O27" s="317">
        <v>1276.3</v>
      </c>
      <c r="P27" s="317">
        <v>1567.8030000000001</v>
      </c>
      <c r="Q27" s="317">
        <v>1389.9</v>
      </c>
      <c r="R27" s="317">
        <v>1380.4179999999999</v>
      </c>
      <c r="S27" s="317">
        <v>1177.3399999999999</v>
      </c>
      <c r="T27" s="317">
        <v>1495.1590000000001</v>
      </c>
      <c r="U27" s="317">
        <v>1172.06</v>
      </c>
      <c r="V27" s="317">
        <v>1827.54</v>
      </c>
      <c r="W27" s="317">
        <v>1632.79</v>
      </c>
      <c r="X27" s="317">
        <v>1453.259</v>
      </c>
      <c r="Y27" s="317">
        <v>1303.4100000000001</v>
      </c>
      <c r="Z27" s="317">
        <v>1268.499</v>
      </c>
      <c r="AA27" s="317">
        <v>1255.4000000000001</v>
      </c>
      <c r="AB27" s="317">
        <v>1271.634</v>
      </c>
      <c r="AC27" s="498"/>
      <c r="AD27" s="317">
        <v>1269.258</v>
      </c>
      <c r="AE27" s="317"/>
      <c r="AF27" s="317">
        <v>1407.124</v>
      </c>
      <c r="AG27" s="317"/>
      <c r="AH27" s="201" t="s">
        <v>398</v>
      </c>
      <c r="AI27" s="174"/>
    </row>
    <row r="28" spans="1:35" s="22" customFormat="1" ht="27.75" customHeight="1" x14ac:dyDescent="0.25">
      <c r="A28" s="161"/>
      <c r="B28" s="632" t="s">
        <v>309</v>
      </c>
      <c r="C28" s="633"/>
      <c r="D28" s="633"/>
      <c r="E28" s="633"/>
      <c r="F28" s="633"/>
      <c r="G28" s="633"/>
      <c r="H28" s="633"/>
      <c r="I28" s="633"/>
      <c r="J28" s="633"/>
      <c r="K28" s="633"/>
      <c r="L28" s="633"/>
      <c r="M28" s="633"/>
      <c r="N28" s="633"/>
      <c r="O28" s="633"/>
      <c r="P28" s="633"/>
      <c r="Q28" s="633"/>
      <c r="R28" s="633"/>
      <c r="S28" s="633"/>
      <c r="T28" s="633"/>
      <c r="U28" s="633"/>
      <c r="V28" s="633"/>
      <c r="W28" s="633"/>
      <c r="X28" s="633"/>
      <c r="Y28" s="633"/>
      <c r="Z28" s="633"/>
      <c r="AA28" s="633"/>
      <c r="AB28" s="633"/>
      <c r="AC28" s="633"/>
      <c r="AD28" s="633"/>
      <c r="AE28" s="633"/>
      <c r="AF28" s="633"/>
      <c r="AG28" s="683"/>
      <c r="AH28" s="199"/>
      <c r="AI28" s="20"/>
    </row>
    <row r="29" spans="1:35" s="22" customFormat="1" ht="28.5" customHeight="1" x14ac:dyDescent="0.25">
      <c r="A29" s="454" t="s">
        <v>310</v>
      </c>
      <c r="B29" s="452" t="s">
        <v>311</v>
      </c>
      <c r="C29" s="183" t="s">
        <v>20</v>
      </c>
      <c r="D29" s="184">
        <f>D31+D30</f>
        <v>78392.60500000001</v>
      </c>
      <c r="E29" s="184">
        <f>E31+E30</f>
        <v>59784.053000000007</v>
      </c>
      <c r="F29" s="184">
        <f t="shared" ref="F29:G29" si="27">F31+F30</f>
        <v>62586.562000000005</v>
      </c>
      <c r="G29" s="184">
        <f t="shared" si="27"/>
        <v>62586.562000000005</v>
      </c>
      <c r="H29" s="184">
        <f t="shared" si="8"/>
        <v>79.837329043983161</v>
      </c>
      <c r="I29" s="184">
        <f t="shared" si="9"/>
        <v>104.68771998445806</v>
      </c>
      <c r="J29" s="185">
        <f>J31+J30</f>
        <v>7656.7209999999995</v>
      </c>
      <c r="K29" s="185">
        <f t="shared" ref="K29:AG29" si="28">K31+K30</f>
        <v>7640.8209999999999</v>
      </c>
      <c r="L29" s="185">
        <f t="shared" si="28"/>
        <v>8480.4639999999999</v>
      </c>
      <c r="M29" s="185">
        <f>M31+M30</f>
        <v>8068.3639999999996</v>
      </c>
      <c r="N29" s="185">
        <f t="shared" si="28"/>
        <v>8997.1029999999992</v>
      </c>
      <c r="O29" s="185">
        <f t="shared" si="28"/>
        <v>8997.1029999999992</v>
      </c>
      <c r="P29" s="185">
        <f t="shared" si="28"/>
        <v>7444.6169999999993</v>
      </c>
      <c r="Q29" s="185">
        <f t="shared" si="28"/>
        <v>7444.6160000000009</v>
      </c>
      <c r="R29" s="185">
        <f>R31+R30</f>
        <v>5385.9040000000005</v>
      </c>
      <c r="S29" s="185">
        <f t="shared" si="28"/>
        <v>4491.902</v>
      </c>
      <c r="T29" s="185">
        <f t="shared" si="28"/>
        <v>3741.5549999999998</v>
      </c>
      <c r="U29" s="185">
        <f t="shared" si="28"/>
        <v>3741.5549999999998</v>
      </c>
      <c r="V29" s="185">
        <f t="shared" si="28"/>
        <v>7857.7959999999994</v>
      </c>
      <c r="W29" s="185">
        <f t="shared" si="28"/>
        <v>7857.799</v>
      </c>
      <c r="X29" s="185">
        <f t="shared" si="28"/>
        <v>4414.9420000000009</v>
      </c>
      <c r="Y29" s="185">
        <f t="shared" si="28"/>
        <v>4425.4420000000009</v>
      </c>
      <c r="Z29" s="185">
        <f t="shared" si="28"/>
        <v>5804.951</v>
      </c>
      <c r="AA29" s="185">
        <f t="shared" si="28"/>
        <v>5794.4489999999996</v>
      </c>
      <c r="AB29" s="185">
        <f t="shared" si="28"/>
        <v>4124.5119999999997</v>
      </c>
      <c r="AC29" s="185">
        <f t="shared" si="28"/>
        <v>4124.5109999999995</v>
      </c>
      <c r="AD29" s="185">
        <f t="shared" si="28"/>
        <v>3772.31</v>
      </c>
      <c r="AE29" s="185">
        <f t="shared" si="28"/>
        <v>0</v>
      </c>
      <c r="AF29" s="185">
        <f t="shared" si="28"/>
        <v>10711.73</v>
      </c>
      <c r="AG29" s="185">
        <f t="shared" si="28"/>
        <v>0</v>
      </c>
      <c r="AH29" s="202"/>
      <c r="AI29" s="20"/>
    </row>
    <row r="30" spans="1:35" s="26" customFormat="1" ht="34.15" customHeight="1" x14ac:dyDescent="0.25">
      <c r="A30" s="455"/>
      <c r="B30" s="453"/>
      <c r="C30" s="186" t="s">
        <v>21</v>
      </c>
      <c r="D30" s="187">
        <f>SUM(J30,L30,N30,P30,R30,T30,V30,X30,Z30,AB30,AD30,AF30)</f>
        <v>77964.60500000001</v>
      </c>
      <c r="E30" s="187">
        <f>J30+L30+N30+P30+R30+T30+V30+X30+Z30</f>
        <v>59356.053000000007</v>
      </c>
      <c r="F30" s="187">
        <f>G30</f>
        <v>62586.562000000005</v>
      </c>
      <c r="G30" s="187">
        <f>SUM(K30,M30,O30,Q30,S30,U30,W30,Y30,AA30,AC30,AE30,AG30)</f>
        <v>62586.562000000005</v>
      </c>
      <c r="H30" s="187">
        <f>IFERROR(G30/D30*100,0)</f>
        <v>80.275609682111508</v>
      </c>
      <c r="I30" s="187">
        <f>IFERROR(G30/E30*100,0)</f>
        <v>105.44259403501779</v>
      </c>
      <c r="J30" s="193">
        <f t="shared" ref="J30:AG30" si="29">J33+J35+J45+J48</f>
        <v>7640.8209999999999</v>
      </c>
      <c r="K30" s="193">
        <f t="shared" si="29"/>
        <v>7640.8209999999999</v>
      </c>
      <c r="L30" s="193">
        <f t="shared" si="29"/>
        <v>8068.3639999999996</v>
      </c>
      <c r="M30" s="193">
        <f t="shared" si="29"/>
        <v>8068.3639999999996</v>
      </c>
      <c r="N30" s="193">
        <f t="shared" si="29"/>
        <v>8997.1029999999992</v>
      </c>
      <c r="O30" s="193">
        <f t="shared" si="29"/>
        <v>8997.1029999999992</v>
      </c>
      <c r="P30" s="193">
        <f t="shared" si="29"/>
        <v>7444.6169999999993</v>
      </c>
      <c r="Q30" s="193">
        <f t="shared" si="29"/>
        <v>7444.6160000000009</v>
      </c>
      <c r="R30" s="193">
        <f t="shared" si="29"/>
        <v>5385.9040000000005</v>
      </c>
      <c r="S30" s="193">
        <f t="shared" si="29"/>
        <v>4491.902</v>
      </c>
      <c r="T30" s="193">
        <f t="shared" si="29"/>
        <v>3741.5549999999998</v>
      </c>
      <c r="U30" s="193">
        <f t="shared" si="29"/>
        <v>3741.5549999999998</v>
      </c>
      <c r="V30" s="193">
        <f t="shared" si="29"/>
        <v>7857.7959999999994</v>
      </c>
      <c r="W30" s="193">
        <f t="shared" si="29"/>
        <v>7857.799</v>
      </c>
      <c r="X30" s="193">
        <f t="shared" si="29"/>
        <v>4414.9420000000009</v>
      </c>
      <c r="Y30" s="193">
        <f t="shared" si="29"/>
        <v>4425.4420000000009</v>
      </c>
      <c r="Z30" s="193">
        <f t="shared" si="29"/>
        <v>5804.951</v>
      </c>
      <c r="AA30" s="193">
        <f t="shared" si="29"/>
        <v>5794.4489999999996</v>
      </c>
      <c r="AB30" s="193">
        <f t="shared" si="29"/>
        <v>4124.5119999999997</v>
      </c>
      <c r="AC30" s="193">
        <f t="shared" si="29"/>
        <v>4124.5109999999995</v>
      </c>
      <c r="AD30" s="193">
        <f t="shared" si="29"/>
        <v>3772.31</v>
      </c>
      <c r="AE30" s="193">
        <f t="shared" si="29"/>
        <v>0</v>
      </c>
      <c r="AF30" s="193">
        <f t="shared" si="29"/>
        <v>10711.73</v>
      </c>
      <c r="AG30" s="193">
        <f t="shared" si="29"/>
        <v>0</v>
      </c>
      <c r="AH30" s="202"/>
      <c r="AI30" s="24"/>
    </row>
    <row r="31" spans="1:35" s="26" customFormat="1" ht="37.5" customHeight="1" x14ac:dyDescent="0.25">
      <c r="A31" s="456"/>
      <c r="B31" s="453"/>
      <c r="C31" s="186" t="s">
        <v>113</v>
      </c>
      <c r="D31" s="187">
        <f>SUM(J31,L31,N31,P31,R31,T31,V31,X31,Z31,AB31,AD31,AF31)</f>
        <v>428</v>
      </c>
      <c r="E31" s="187">
        <f>J31+L31+N31+P31+R31+T31+V31+X31+Z31</f>
        <v>428</v>
      </c>
      <c r="F31" s="187">
        <f>G31</f>
        <v>0</v>
      </c>
      <c r="G31" s="187">
        <f>SUM(K31,M31,O31,Q31,S31,U31,W31,Y31,AA31,AC31,AE31,AG31)</f>
        <v>0</v>
      </c>
      <c r="H31" s="187">
        <f>IFERROR(G31/D31*100,0)</f>
        <v>0</v>
      </c>
      <c r="I31" s="187">
        <f>IFERROR(G31/E31*100,0)</f>
        <v>0</v>
      </c>
      <c r="J31" s="193">
        <f>J46</f>
        <v>15.9</v>
      </c>
      <c r="K31" s="193">
        <f t="shared" ref="K31:AG31" si="30">K46</f>
        <v>0</v>
      </c>
      <c r="L31" s="193">
        <f t="shared" si="30"/>
        <v>412.1</v>
      </c>
      <c r="M31" s="193">
        <f t="shared" si="30"/>
        <v>0</v>
      </c>
      <c r="N31" s="193">
        <f t="shared" si="30"/>
        <v>0</v>
      </c>
      <c r="O31" s="193">
        <f t="shared" si="30"/>
        <v>0</v>
      </c>
      <c r="P31" s="193">
        <f t="shared" si="30"/>
        <v>0</v>
      </c>
      <c r="Q31" s="193">
        <f t="shared" si="30"/>
        <v>0</v>
      </c>
      <c r="R31" s="193">
        <f t="shared" si="30"/>
        <v>0</v>
      </c>
      <c r="S31" s="193">
        <f t="shared" si="30"/>
        <v>0</v>
      </c>
      <c r="T31" s="193">
        <f t="shared" si="30"/>
        <v>0</v>
      </c>
      <c r="U31" s="193">
        <f t="shared" si="30"/>
        <v>0</v>
      </c>
      <c r="V31" s="193">
        <f t="shared" si="30"/>
        <v>0</v>
      </c>
      <c r="W31" s="193">
        <f t="shared" si="30"/>
        <v>0</v>
      </c>
      <c r="X31" s="193">
        <f t="shared" si="30"/>
        <v>0</v>
      </c>
      <c r="Y31" s="193">
        <f t="shared" si="30"/>
        <v>0</v>
      </c>
      <c r="Z31" s="193">
        <f t="shared" si="30"/>
        <v>0</v>
      </c>
      <c r="AA31" s="193">
        <f t="shared" si="30"/>
        <v>0</v>
      </c>
      <c r="AB31" s="193">
        <f t="shared" si="30"/>
        <v>0</v>
      </c>
      <c r="AC31" s="193">
        <f t="shared" si="30"/>
        <v>0</v>
      </c>
      <c r="AD31" s="193">
        <f t="shared" si="30"/>
        <v>0</v>
      </c>
      <c r="AE31" s="193">
        <f t="shared" si="30"/>
        <v>0</v>
      </c>
      <c r="AF31" s="193">
        <f t="shared" si="30"/>
        <v>0</v>
      </c>
      <c r="AG31" s="193">
        <f t="shared" si="30"/>
        <v>0</v>
      </c>
      <c r="AH31" s="202"/>
      <c r="AI31" s="24"/>
    </row>
    <row r="32" spans="1:35" s="175" customFormat="1" ht="75.599999999999994" customHeight="1" x14ac:dyDescent="0.25">
      <c r="A32" s="457"/>
      <c r="B32" s="459" t="s">
        <v>312</v>
      </c>
      <c r="C32" s="278" t="s">
        <v>20</v>
      </c>
      <c r="D32" s="165">
        <f>D33</f>
        <v>2945.9</v>
      </c>
      <c r="E32" s="165">
        <f>E33</f>
        <v>2945.9</v>
      </c>
      <c r="F32" s="165">
        <f t="shared" ref="F32:G32" si="31">F33</f>
        <v>2945.8989999999999</v>
      </c>
      <c r="G32" s="165">
        <f t="shared" si="31"/>
        <v>2945.8989999999999</v>
      </c>
      <c r="H32" s="165">
        <f t="shared" ref="H32" si="32">IFERROR(G32/D32*100,0)</f>
        <v>99.999966054516449</v>
      </c>
      <c r="I32" s="166">
        <f t="shared" ref="I32" si="33">IFERROR(G32/E32*100,0)</f>
        <v>99.999966054516449</v>
      </c>
      <c r="J32" s="176">
        <f>J33</f>
        <v>0</v>
      </c>
      <c r="K32" s="176">
        <f t="shared" ref="K32:AG32" si="34">K33</f>
        <v>0</v>
      </c>
      <c r="L32" s="176">
        <f t="shared" si="34"/>
        <v>401.77</v>
      </c>
      <c r="M32" s="176">
        <f>M33</f>
        <v>401.77</v>
      </c>
      <c r="N32" s="176">
        <f t="shared" si="34"/>
        <v>1375.03</v>
      </c>
      <c r="O32" s="176">
        <f t="shared" si="34"/>
        <v>1375.03</v>
      </c>
      <c r="P32" s="310">
        <f t="shared" si="34"/>
        <v>1100</v>
      </c>
      <c r="Q32" s="310">
        <f t="shared" si="34"/>
        <v>1100</v>
      </c>
      <c r="R32" s="176">
        <f t="shared" si="34"/>
        <v>32.491</v>
      </c>
      <c r="S32" s="176">
        <f t="shared" si="34"/>
        <v>32.49</v>
      </c>
      <c r="T32" s="176">
        <f t="shared" si="34"/>
        <v>0</v>
      </c>
      <c r="U32" s="176">
        <f t="shared" si="34"/>
        <v>0</v>
      </c>
      <c r="V32" s="176">
        <f t="shared" si="34"/>
        <v>0</v>
      </c>
      <c r="W32" s="176">
        <f t="shared" si="34"/>
        <v>0</v>
      </c>
      <c r="X32" s="176">
        <f t="shared" si="34"/>
        <v>0</v>
      </c>
      <c r="Y32" s="176">
        <f t="shared" si="34"/>
        <v>0</v>
      </c>
      <c r="Z32" s="176">
        <f t="shared" si="34"/>
        <v>36.609000000000002</v>
      </c>
      <c r="AA32" s="176">
        <f t="shared" si="34"/>
        <v>36.609000000000002</v>
      </c>
      <c r="AB32" s="176">
        <f t="shared" si="34"/>
        <v>0</v>
      </c>
      <c r="AC32" s="176">
        <f t="shared" si="34"/>
        <v>0</v>
      </c>
      <c r="AD32" s="176">
        <f t="shared" si="34"/>
        <v>0</v>
      </c>
      <c r="AE32" s="176">
        <f t="shared" si="34"/>
        <v>0</v>
      </c>
      <c r="AF32" s="176">
        <f t="shared" si="34"/>
        <v>0</v>
      </c>
      <c r="AG32" s="176">
        <f t="shared" si="34"/>
        <v>0</v>
      </c>
      <c r="AH32" s="167"/>
      <c r="AI32" s="174"/>
    </row>
    <row r="33" spans="1:35" s="175" customFormat="1" ht="96.6" customHeight="1" x14ac:dyDescent="0.25">
      <c r="A33" s="458"/>
      <c r="B33" s="460"/>
      <c r="C33" s="279" t="s">
        <v>21</v>
      </c>
      <c r="D33" s="171">
        <f>SUM(J33,L33,N33,P33,R33,T33,V33,X33,Z33,AB33,AD33,AF33)</f>
        <v>2945.9</v>
      </c>
      <c r="E33" s="171">
        <f>J33+L33+N33+P33+R33+T33+V33+X33+Z33+AB33</f>
        <v>2945.9</v>
      </c>
      <c r="F33" s="171">
        <f>G33</f>
        <v>2945.8989999999999</v>
      </c>
      <c r="G33" s="171">
        <f>SUM(K33,M33,O33,Q33,S33,U33,W33,Y33,AA33,AC33,AE33,AG33)</f>
        <v>2945.8989999999999</v>
      </c>
      <c r="H33" s="171">
        <f>IFERROR(G33/D33*100,0)</f>
        <v>99.999966054516449</v>
      </c>
      <c r="I33" s="172">
        <f>IFERROR(G33/E33*100,0)</f>
        <v>99.999966054516449</v>
      </c>
      <c r="J33" s="177">
        <v>0</v>
      </c>
      <c r="K33" s="177">
        <v>0</v>
      </c>
      <c r="L33" s="177">
        <v>401.77</v>
      </c>
      <c r="M33" s="177">
        <v>401.77</v>
      </c>
      <c r="N33" s="177">
        <v>1375.03</v>
      </c>
      <c r="O33" s="177">
        <v>1375.03</v>
      </c>
      <c r="P33" s="311">
        <v>1100</v>
      </c>
      <c r="Q33" s="311">
        <v>1100</v>
      </c>
      <c r="R33" s="177">
        <v>32.491</v>
      </c>
      <c r="S33" s="177">
        <v>32.49</v>
      </c>
      <c r="T33" s="177">
        <v>0</v>
      </c>
      <c r="U33" s="177">
        <v>0</v>
      </c>
      <c r="V33" s="177">
        <v>0</v>
      </c>
      <c r="W33" s="177">
        <v>0</v>
      </c>
      <c r="X33" s="177">
        <v>0</v>
      </c>
      <c r="Y33" s="177">
        <v>0</v>
      </c>
      <c r="Z33" s="177">
        <v>36.609000000000002</v>
      </c>
      <c r="AA33" s="177">
        <v>36.609000000000002</v>
      </c>
      <c r="AB33" s="177">
        <v>0</v>
      </c>
      <c r="AC33" s="177">
        <v>0</v>
      </c>
      <c r="AD33" s="177">
        <v>0</v>
      </c>
      <c r="AE33" s="177">
        <v>0</v>
      </c>
      <c r="AF33" s="177">
        <v>0</v>
      </c>
      <c r="AG33" s="177">
        <v>0</v>
      </c>
      <c r="AH33" s="173" t="s">
        <v>402</v>
      </c>
      <c r="AI33" s="174"/>
    </row>
    <row r="34" spans="1:35" s="175" customFormat="1" ht="187.9" customHeight="1" x14ac:dyDescent="0.25">
      <c r="A34" s="448"/>
      <c r="B34" s="450" t="s">
        <v>313</v>
      </c>
      <c r="C34" s="164" t="s">
        <v>20</v>
      </c>
      <c r="D34" s="165">
        <f>D35</f>
        <v>7926.2000000000007</v>
      </c>
      <c r="E34" s="165">
        <f>E35</f>
        <v>7556.35</v>
      </c>
      <c r="F34" s="165">
        <f t="shared" ref="F34:G34" si="35">F35</f>
        <v>6956.348</v>
      </c>
      <c r="G34" s="165">
        <f t="shared" si="35"/>
        <v>6956.348</v>
      </c>
      <c r="H34" s="166">
        <f t="shared" ref="H34" si="36">IFERROR(G34/D34*100,0)</f>
        <v>87.763972647674791</v>
      </c>
      <c r="I34" s="166">
        <f t="shared" ref="I34" si="37">IFERROR(G34/E34*100,0)</f>
        <v>92.059631965168364</v>
      </c>
      <c r="J34" s="176">
        <f>J35</f>
        <v>2992.1</v>
      </c>
      <c r="K34" s="176">
        <f t="shared" ref="K34:AG34" si="38">K35</f>
        <v>2992.1</v>
      </c>
      <c r="L34" s="176">
        <f t="shared" si="38"/>
        <v>1772.8580000000002</v>
      </c>
      <c r="M34" s="176">
        <f t="shared" si="38"/>
        <v>1772.8580000000002</v>
      </c>
      <c r="N34" s="176">
        <f t="shared" si="38"/>
        <v>1769.3</v>
      </c>
      <c r="O34" s="176">
        <f t="shared" si="38"/>
        <v>1769.3</v>
      </c>
      <c r="P34" s="310">
        <f t="shared" si="38"/>
        <v>59.4</v>
      </c>
      <c r="Q34" s="310">
        <f t="shared" si="38"/>
        <v>59.4</v>
      </c>
      <c r="R34" s="176">
        <f t="shared" si="38"/>
        <v>613.79999999999995</v>
      </c>
      <c r="S34" s="176">
        <f t="shared" si="38"/>
        <v>13.8</v>
      </c>
      <c r="T34" s="176">
        <f t="shared" si="38"/>
        <v>0</v>
      </c>
      <c r="U34" s="176">
        <f t="shared" si="38"/>
        <v>0</v>
      </c>
      <c r="V34" s="176">
        <f t="shared" si="38"/>
        <v>0</v>
      </c>
      <c r="W34" s="176">
        <f t="shared" si="38"/>
        <v>0</v>
      </c>
      <c r="X34" s="176">
        <f t="shared" si="38"/>
        <v>97.8</v>
      </c>
      <c r="Y34" s="176">
        <f t="shared" si="38"/>
        <v>97.8</v>
      </c>
      <c r="Z34" s="176">
        <f t="shared" si="38"/>
        <v>96.941999999999993</v>
      </c>
      <c r="AA34" s="176">
        <f t="shared" si="38"/>
        <v>96.94</v>
      </c>
      <c r="AB34" s="176">
        <f t="shared" si="38"/>
        <v>154.14999999999998</v>
      </c>
      <c r="AC34" s="176">
        <f t="shared" si="38"/>
        <v>154.14999999999998</v>
      </c>
      <c r="AD34" s="176">
        <f t="shared" si="38"/>
        <v>369.84999999999997</v>
      </c>
      <c r="AE34" s="176">
        <f t="shared" si="38"/>
        <v>0</v>
      </c>
      <c r="AF34" s="176">
        <f t="shared" si="38"/>
        <v>0</v>
      </c>
      <c r="AG34" s="176">
        <f t="shared" si="38"/>
        <v>0</v>
      </c>
      <c r="AH34" s="173" t="s">
        <v>384</v>
      </c>
      <c r="AI34" s="174"/>
    </row>
    <row r="35" spans="1:35" s="175" customFormat="1" ht="64.150000000000006" customHeight="1" x14ac:dyDescent="0.25">
      <c r="A35" s="449"/>
      <c r="B35" s="451"/>
      <c r="C35" s="170" t="s">
        <v>21</v>
      </c>
      <c r="D35" s="171">
        <f>SUM(J35,L35,N35,P35,R35,T35,V35,X35,Z35,AB35,AD35,AF35)</f>
        <v>7926.2000000000007</v>
      </c>
      <c r="E35" s="172">
        <f>J35+L35+N35+P35+R35+T35+V35+X35+Z35+AB35</f>
        <v>7556.35</v>
      </c>
      <c r="F35" s="172">
        <f>G35</f>
        <v>6956.348</v>
      </c>
      <c r="G35" s="172">
        <f>SUM(K35,M35,O35,Q35,S35,U35,W35,Y35,AA35,AC35,AE35,AG35)</f>
        <v>6956.348</v>
      </c>
      <c r="H35" s="172">
        <f>IFERROR(G35/D35*100,0)</f>
        <v>87.763972647674791</v>
      </c>
      <c r="I35" s="172">
        <f>IFERROR(G35/E35*100,0)</f>
        <v>92.059631965168364</v>
      </c>
      <c r="J35" s="177">
        <f>J37+J39+J41+J43</f>
        <v>2992.1</v>
      </c>
      <c r="K35" s="177">
        <v>2992.1</v>
      </c>
      <c r="L35" s="177">
        <f t="shared" ref="L35:AG35" si="39">L37+L39+L41+L43</f>
        <v>1772.8580000000002</v>
      </c>
      <c r="M35" s="177">
        <f t="shared" si="39"/>
        <v>1772.8580000000002</v>
      </c>
      <c r="N35" s="177">
        <f t="shared" si="39"/>
        <v>1769.3</v>
      </c>
      <c r="O35" s="177">
        <f t="shared" si="39"/>
        <v>1769.3</v>
      </c>
      <c r="P35" s="311">
        <f t="shared" si="39"/>
        <v>59.4</v>
      </c>
      <c r="Q35" s="311">
        <v>59.4</v>
      </c>
      <c r="R35" s="177">
        <f t="shared" si="39"/>
        <v>613.79999999999995</v>
      </c>
      <c r="S35" s="177">
        <f t="shared" si="39"/>
        <v>13.8</v>
      </c>
      <c r="T35" s="177">
        <f t="shared" si="39"/>
        <v>0</v>
      </c>
      <c r="U35" s="177">
        <f t="shared" si="39"/>
        <v>0</v>
      </c>
      <c r="V35" s="177">
        <f t="shared" si="39"/>
        <v>0</v>
      </c>
      <c r="W35" s="177">
        <f t="shared" si="39"/>
        <v>0</v>
      </c>
      <c r="X35" s="177">
        <f t="shared" si="39"/>
        <v>97.8</v>
      </c>
      <c r="Y35" s="177">
        <f t="shared" si="39"/>
        <v>97.8</v>
      </c>
      <c r="Z35" s="177">
        <f t="shared" si="39"/>
        <v>96.941999999999993</v>
      </c>
      <c r="AA35" s="177">
        <f t="shared" si="39"/>
        <v>96.94</v>
      </c>
      <c r="AB35" s="177">
        <f t="shared" si="39"/>
        <v>154.14999999999998</v>
      </c>
      <c r="AC35" s="177">
        <f t="shared" si="39"/>
        <v>154.14999999999998</v>
      </c>
      <c r="AD35" s="177">
        <f t="shared" si="39"/>
        <v>369.84999999999997</v>
      </c>
      <c r="AE35" s="177">
        <f t="shared" si="39"/>
        <v>0</v>
      </c>
      <c r="AF35" s="177">
        <f t="shared" si="39"/>
        <v>0</v>
      </c>
      <c r="AG35" s="177">
        <f t="shared" si="39"/>
        <v>0</v>
      </c>
      <c r="AH35" s="173" t="s">
        <v>444</v>
      </c>
      <c r="AI35" s="174"/>
    </row>
    <row r="36" spans="1:35" s="175" customFormat="1" ht="168" customHeight="1" x14ac:dyDescent="0.25">
      <c r="A36" s="439"/>
      <c r="B36" s="441" t="s">
        <v>314</v>
      </c>
      <c r="C36" s="126" t="s">
        <v>20</v>
      </c>
      <c r="D36" s="74">
        <f>D37</f>
        <v>4265.7</v>
      </c>
      <c r="E36" s="74">
        <f t="shared" ref="E36:G36" si="40">E37</f>
        <v>3911.3</v>
      </c>
      <c r="F36" s="74">
        <f>F37</f>
        <v>3911.2980000000002</v>
      </c>
      <c r="G36" s="171">
        <f t="shared" si="40"/>
        <v>3911.2980000000002</v>
      </c>
      <c r="H36" s="172">
        <f t="shared" ref="H36" si="41">IFERROR(G36/D36*100,0)</f>
        <v>91.691820803150719</v>
      </c>
      <c r="I36" s="172">
        <f t="shared" ref="I36" si="42">IFERROR(G36/E36*100,0)</f>
        <v>99.99994886610591</v>
      </c>
      <c r="J36" s="177">
        <f>J37</f>
        <v>0</v>
      </c>
      <c r="K36" s="177">
        <f t="shared" ref="K36:AG36" si="43">K37</f>
        <v>0</v>
      </c>
      <c r="L36" s="177">
        <f t="shared" si="43"/>
        <v>1769.4580000000001</v>
      </c>
      <c r="M36" s="177">
        <f t="shared" si="43"/>
        <v>1769.4580000000001</v>
      </c>
      <c r="N36" s="177">
        <f t="shared" si="43"/>
        <v>1769.3</v>
      </c>
      <c r="O36" s="177">
        <f t="shared" si="43"/>
        <v>1769.3</v>
      </c>
      <c r="P36" s="311">
        <f t="shared" si="43"/>
        <v>59.4</v>
      </c>
      <c r="Q36" s="311">
        <f t="shared" si="43"/>
        <v>59.4</v>
      </c>
      <c r="R36" s="177">
        <f t="shared" si="43"/>
        <v>13.8</v>
      </c>
      <c r="S36" s="177">
        <f t="shared" si="43"/>
        <v>13.8</v>
      </c>
      <c r="T36" s="177">
        <f t="shared" si="43"/>
        <v>0</v>
      </c>
      <c r="U36" s="177">
        <f t="shared" si="43"/>
        <v>0</v>
      </c>
      <c r="V36" s="177">
        <f t="shared" si="43"/>
        <v>0</v>
      </c>
      <c r="W36" s="177">
        <f t="shared" si="43"/>
        <v>0</v>
      </c>
      <c r="X36" s="177">
        <f t="shared" si="43"/>
        <v>97.8</v>
      </c>
      <c r="Y36" s="177">
        <f t="shared" si="43"/>
        <v>97.8</v>
      </c>
      <c r="Z36" s="177">
        <f t="shared" si="43"/>
        <v>96.941999999999993</v>
      </c>
      <c r="AA36" s="177">
        <f t="shared" si="43"/>
        <v>96.94</v>
      </c>
      <c r="AB36" s="177">
        <f t="shared" si="43"/>
        <v>104.6</v>
      </c>
      <c r="AC36" s="177">
        <f t="shared" si="43"/>
        <v>104.6</v>
      </c>
      <c r="AD36" s="177">
        <f t="shared" si="43"/>
        <v>354.4</v>
      </c>
      <c r="AE36" s="177">
        <f t="shared" si="43"/>
        <v>0</v>
      </c>
      <c r="AF36" s="177">
        <f t="shared" si="43"/>
        <v>0</v>
      </c>
      <c r="AG36" s="177">
        <f t="shared" si="43"/>
        <v>0</v>
      </c>
      <c r="AH36" s="173" t="s">
        <v>387</v>
      </c>
      <c r="AI36" s="174"/>
    </row>
    <row r="37" spans="1:35" s="175" customFormat="1" ht="65.25" customHeight="1" x14ac:dyDescent="0.25">
      <c r="A37" s="440"/>
      <c r="B37" s="442"/>
      <c r="C37" s="124" t="s">
        <v>21</v>
      </c>
      <c r="D37" s="74">
        <f>SUM(J37,L37,N37,P37,R37,T37,V37,X37,Z37,AB37,AD37,AF37)</f>
        <v>4265.7</v>
      </c>
      <c r="E37" s="74">
        <f>J37+L37+N37+P37+R37+T37+V37+X37+Z37+AB37</f>
        <v>3911.3</v>
      </c>
      <c r="F37" s="74">
        <f>G37</f>
        <v>3911.2980000000002</v>
      </c>
      <c r="G37" s="171">
        <f>SUM(K37,M37,O37,Q37,S37,U37,W37,Y37,AA37,AC37,AE37,AG37)</f>
        <v>3911.2980000000002</v>
      </c>
      <c r="H37" s="171">
        <f>IFERROR(G37/D37*100,0)</f>
        <v>91.691820803150719</v>
      </c>
      <c r="I37" s="171">
        <f>IFERROR(G37/E37*100,0)</f>
        <v>99.99994886610591</v>
      </c>
      <c r="J37" s="311">
        <v>0</v>
      </c>
      <c r="K37" s="311">
        <v>0</v>
      </c>
      <c r="L37" s="311">
        <v>1769.4580000000001</v>
      </c>
      <c r="M37" s="311">
        <v>1769.4580000000001</v>
      </c>
      <c r="N37" s="311">
        <v>1769.3</v>
      </c>
      <c r="O37" s="311">
        <v>1769.3</v>
      </c>
      <c r="P37" s="311">
        <v>59.4</v>
      </c>
      <c r="Q37" s="311">
        <v>59.4</v>
      </c>
      <c r="R37" s="311">
        <v>13.8</v>
      </c>
      <c r="S37" s="311">
        <v>13.8</v>
      </c>
      <c r="T37" s="311">
        <v>0</v>
      </c>
      <c r="U37" s="311">
        <v>0</v>
      </c>
      <c r="V37" s="311">
        <v>0</v>
      </c>
      <c r="W37" s="311">
        <v>0</v>
      </c>
      <c r="X37" s="311">
        <v>97.8</v>
      </c>
      <c r="Y37" s="311">
        <v>97.8</v>
      </c>
      <c r="Z37" s="177">
        <v>96.941999999999993</v>
      </c>
      <c r="AA37" s="177">
        <v>96.94</v>
      </c>
      <c r="AB37" s="177">
        <v>104.6</v>
      </c>
      <c r="AC37" s="177">
        <v>104.6</v>
      </c>
      <c r="AD37" s="177">
        <v>354.4</v>
      </c>
      <c r="AE37" s="177">
        <v>0</v>
      </c>
      <c r="AF37" s="177">
        <v>0</v>
      </c>
      <c r="AG37" s="177">
        <v>0</v>
      </c>
      <c r="AH37" s="43"/>
      <c r="AI37" s="174"/>
    </row>
    <row r="38" spans="1:35" s="175" customFormat="1" ht="51" customHeight="1" x14ac:dyDescent="0.25">
      <c r="A38" s="178"/>
      <c r="B38" s="443" t="s">
        <v>315</v>
      </c>
      <c r="C38" s="170" t="s">
        <v>20</v>
      </c>
      <c r="D38" s="171">
        <f t="shared" ref="D38:E38" si="44">D39</f>
        <v>600</v>
      </c>
      <c r="E38" s="172">
        <f t="shared" si="44"/>
        <v>0</v>
      </c>
      <c r="F38" s="172">
        <f t="shared" ref="F38:F41" si="45">G38</f>
        <v>0</v>
      </c>
      <c r="G38" s="172">
        <f>G39</f>
        <v>0</v>
      </c>
      <c r="H38" s="172">
        <f t="shared" ref="H38:H42" si="46">IFERROR(G38/D38*100,0)</f>
        <v>0</v>
      </c>
      <c r="I38" s="172">
        <f t="shared" ref="I38:I42" si="47">IFERROR(G38/E38*100,0)</f>
        <v>0</v>
      </c>
      <c r="J38" s="172">
        <f t="shared" ref="J38:AG38" si="48">J39</f>
        <v>0</v>
      </c>
      <c r="K38" s="172">
        <f t="shared" si="48"/>
        <v>0</v>
      </c>
      <c r="L38" s="172">
        <f t="shared" si="48"/>
        <v>0</v>
      </c>
      <c r="M38" s="172">
        <f t="shared" si="48"/>
        <v>0</v>
      </c>
      <c r="N38" s="172">
        <f t="shared" si="48"/>
        <v>0</v>
      </c>
      <c r="O38" s="172">
        <f t="shared" si="48"/>
        <v>0</v>
      </c>
      <c r="P38" s="171">
        <f t="shared" si="48"/>
        <v>0</v>
      </c>
      <c r="Q38" s="171">
        <f t="shared" si="48"/>
        <v>0</v>
      </c>
      <c r="R38" s="172">
        <f t="shared" si="48"/>
        <v>600</v>
      </c>
      <c r="S38" s="172">
        <f t="shared" si="48"/>
        <v>0</v>
      </c>
      <c r="T38" s="172">
        <f t="shared" si="48"/>
        <v>0</v>
      </c>
      <c r="U38" s="172">
        <f t="shared" si="48"/>
        <v>0</v>
      </c>
      <c r="V38" s="172">
        <f t="shared" si="48"/>
        <v>0</v>
      </c>
      <c r="W38" s="172">
        <f t="shared" si="48"/>
        <v>0</v>
      </c>
      <c r="X38" s="172">
        <f t="shared" si="48"/>
        <v>0</v>
      </c>
      <c r="Y38" s="172">
        <f t="shared" si="48"/>
        <v>0</v>
      </c>
      <c r="Z38" s="172">
        <f t="shared" si="48"/>
        <v>0</v>
      </c>
      <c r="AA38" s="172">
        <f t="shared" si="48"/>
        <v>0</v>
      </c>
      <c r="AB38" s="172">
        <f t="shared" si="48"/>
        <v>0</v>
      </c>
      <c r="AC38" s="172">
        <f t="shared" si="48"/>
        <v>0</v>
      </c>
      <c r="AD38" s="172">
        <f t="shared" si="48"/>
        <v>0</v>
      </c>
      <c r="AE38" s="172">
        <f t="shared" si="48"/>
        <v>0</v>
      </c>
      <c r="AF38" s="172">
        <f t="shared" si="48"/>
        <v>0</v>
      </c>
      <c r="AG38" s="172">
        <f t="shared" si="48"/>
        <v>0</v>
      </c>
      <c r="AH38" s="173"/>
      <c r="AI38" s="174"/>
    </row>
    <row r="39" spans="1:35" s="175" customFormat="1" ht="39.6" customHeight="1" x14ac:dyDescent="0.25">
      <c r="A39" s="178"/>
      <c r="B39" s="443"/>
      <c r="C39" s="170" t="s">
        <v>21</v>
      </c>
      <c r="D39" s="171">
        <f t="shared" ref="D39" si="49">SUM(J39,L39,N39,P39,R39,T39,V39,X39,Z39,AB39,AD39,AF39)</f>
        <v>600</v>
      </c>
      <c r="E39" s="172">
        <f t="shared" ref="E39" si="50">J39</f>
        <v>0</v>
      </c>
      <c r="F39" s="172">
        <f t="shared" si="45"/>
        <v>0</v>
      </c>
      <c r="G39" s="172">
        <f t="shared" ref="G39" si="51">SUM(K39,M39,O39,Q39,S39,U39,W39,Y39,AA39,AC39,AE39,AG39)</f>
        <v>0</v>
      </c>
      <c r="H39" s="172">
        <f t="shared" si="46"/>
        <v>0</v>
      </c>
      <c r="I39" s="172">
        <f t="shared" si="47"/>
        <v>0</v>
      </c>
      <c r="J39" s="177">
        <v>0</v>
      </c>
      <c r="K39" s="177">
        <v>0</v>
      </c>
      <c r="L39" s="177">
        <v>0</v>
      </c>
      <c r="M39" s="177">
        <v>0</v>
      </c>
      <c r="N39" s="177">
        <v>0</v>
      </c>
      <c r="O39" s="177">
        <v>0</v>
      </c>
      <c r="P39" s="311">
        <v>0</v>
      </c>
      <c r="Q39" s="311">
        <v>0</v>
      </c>
      <c r="R39" s="177">
        <v>600</v>
      </c>
      <c r="S39" s="177">
        <v>0</v>
      </c>
      <c r="T39" s="177">
        <v>0</v>
      </c>
      <c r="U39" s="177">
        <v>0</v>
      </c>
      <c r="V39" s="177">
        <v>0</v>
      </c>
      <c r="W39" s="177">
        <v>0</v>
      </c>
      <c r="X39" s="177">
        <v>0</v>
      </c>
      <c r="Y39" s="177">
        <v>0</v>
      </c>
      <c r="Z39" s="177">
        <v>0</v>
      </c>
      <c r="AA39" s="177">
        <v>0</v>
      </c>
      <c r="AB39" s="177">
        <v>0</v>
      </c>
      <c r="AC39" s="177">
        <v>0</v>
      </c>
      <c r="AD39" s="177">
        <v>0</v>
      </c>
      <c r="AE39" s="177">
        <v>0</v>
      </c>
      <c r="AF39" s="177">
        <v>0</v>
      </c>
      <c r="AG39" s="177">
        <v>0</v>
      </c>
      <c r="AH39" s="173" t="s">
        <v>386</v>
      </c>
      <c r="AI39" s="174"/>
    </row>
    <row r="40" spans="1:35" s="175" customFormat="1" ht="39" customHeight="1" x14ac:dyDescent="0.25">
      <c r="A40" s="178"/>
      <c r="B40" s="443" t="s">
        <v>316</v>
      </c>
      <c r="C40" s="170" t="s">
        <v>20</v>
      </c>
      <c r="D40" s="171">
        <f t="shared" ref="D40:E40" si="52">D41</f>
        <v>68.399999999999991</v>
      </c>
      <c r="E40" s="172">
        <f t="shared" si="52"/>
        <v>52.949999999999996</v>
      </c>
      <c r="F40" s="172">
        <f t="shared" si="45"/>
        <v>52.949999999999996</v>
      </c>
      <c r="G40" s="172">
        <f>G41</f>
        <v>52.949999999999996</v>
      </c>
      <c r="H40" s="172">
        <f t="shared" si="46"/>
        <v>77.412280701754383</v>
      </c>
      <c r="I40" s="172">
        <f t="shared" si="47"/>
        <v>100</v>
      </c>
      <c r="J40" s="172">
        <f t="shared" ref="J40:AG40" si="53">J41</f>
        <v>0</v>
      </c>
      <c r="K40" s="172">
        <f t="shared" si="53"/>
        <v>0</v>
      </c>
      <c r="L40" s="172">
        <f t="shared" si="53"/>
        <v>3.4</v>
      </c>
      <c r="M40" s="172">
        <f t="shared" si="53"/>
        <v>3.4</v>
      </c>
      <c r="N40" s="172">
        <f t="shared" si="53"/>
        <v>0</v>
      </c>
      <c r="O40" s="172">
        <f t="shared" si="53"/>
        <v>0</v>
      </c>
      <c r="P40" s="171">
        <f t="shared" si="53"/>
        <v>0</v>
      </c>
      <c r="Q40" s="171">
        <f t="shared" si="53"/>
        <v>0</v>
      </c>
      <c r="R40" s="172">
        <f t="shared" si="53"/>
        <v>0</v>
      </c>
      <c r="S40" s="172">
        <f t="shared" si="53"/>
        <v>0</v>
      </c>
      <c r="T40" s="172">
        <f t="shared" si="53"/>
        <v>0</v>
      </c>
      <c r="U40" s="172">
        <f t="shared" si="53"/>
        <v>0</v>
      </c>
      <c r="V40" s="172">
        <f t="shared" si="53"/>
        <v>0</v>
      </c>
      <c r="W40" s="172">
        <f t="shared" si="53"/>
        <v>0</v>
      </c>
      <c r="X40" s="172">
        <f t="shared" si="53"/>
        <v>0</v>
      </c>
      <c r="Y40" s="172">
        <f t="shared" si="53"/>
        <v>0</v>
      </c>
      <c r="Z40" s="172">
        <f t="shared" si="53"/>
        <v>0</v>
      </c>
      <c r="AA40" s="172">
        <f t="shared" si="53"/>
        <v>0</v>
      </c>
      <c r="AB40" s="172">
        <f t="shared" si="53"/>
        <v>49.55</v>
      </c>
      <c r="AC40" s="172">
        <f t="shared" si="53"/>
        <v>49.55</v>
      </c>
      <c r="AD40" s="172">
        <f t="shared" si="53"/>
        <v>15.45</v>
      </c>
      <c r="AE40" s="172">
        <f t="shared" si="53"/>
        <v>0</v>
      </c>
      <c r="AF40" s="172">
        <f t="shared" si="53"/>
        <v>0</v>
      </c>
      <c r="AG40" s="172">
        <f t="shared" si="53"/>
        <v>0</v>
      </c>
      <c r="AH40" s="173" t="s">
        <v>383</v>
      </c>
      <c r="AI40" s="174"/>
    </row>
    <row r="41" spans="1:35" s="175" customFormat="1" ht="37.9" customHeight="1" x14ac:dyDescent="0.25">
      <c r="A41" s="178"/>
      <c r="B41" s="443"/>
      <c r="C41" s="170" t="s">
        <v>21</v>
      </c>
      <c r="D41" s="171">
        <f t="shared" ref="D41" si="54">SUM(J41,L41,N41,P41,R41,T41,V41,X41,Z41,AB41,AD41,AF41)</f>
        <v>68.399999999999991</v>
      </c>
      <c r="E41" s="172">
        <f>J41+L41+N41+P41+R41+T41+V41+X41+Z41+AB41</f>
        <v>52.949999999999996</v>
      </c>
      <c r="F41" s="172">
        <f t="shared" si="45"/>
        <v>52.949999999999996</v>
      </c>
      <c r="G41" s="172">
        <f t="shared" ref="G41" si="55">SUM(K41,M41,O41,Q41,S41,U41,W41,Y41,AA41,AC41,AE41,AG41)</f>
        <v>52.949999999999996</v>
      </c>
      <c r="H41" s="172">
        <f t="shared" si="46"/>
        <v>77.412280701754383</v>
      </c>
      <c r="I41" s="172">
        <f t="shared" si="47"/>
        <v>100</v>
      </c>
      <c r="J41" s="177">
        <v>0</v>
      </c>
      <c r="K41" s="177">
        <v>0</v>
      </c>
      <c r="L41" s="177">
        <v>3.4</v>
      </c>
      <c r="M41" s="177">
        <v>3.4</v>
      </c>
      <c r="N41" s="177">
        <v>0</v>
      </c>
      <c r="O41" s="177">
        <v>0</v>
      </c>
      <c r="P41" s="311">
        <v>0</v>
      </c>
      <c r="Q41" s="311">
        <v>0</v>
      </c>
      <c r="R41" s="177">
        <v>0</v>
      </c>
      <c r="S41" s="177">
        <v>0</v>
      </c>
      <c r="T41" s="177">
        <v>0</v>
      </c>
      <c r="U41" s="177">
        <v>0</v>
      </c>
      <c r="V41" s="177">
        <v>0</v>
      </c>
      <c r="W41" s="177">
        <v>0</v>
      </c>
      <c r="X41" s="177">
        <v>0</v>
      </c>
      <c r="Y41" s="177">
        <v>0</v>
      </c>
      <c r="Z41" s="177">
        <v>0</v>
      </c>
      <c r="AA41" s="177">
        <v>0</v>
      </c>
      <c r="AB41" s="177">
        <v>49.55</v>
      </c>
      <c r="AC41" s="177">
        <v>49.55</v>
      </c>
      <c r="AD41" s="177">
        <v>15.45</v>
      </c>
      <c r="AE41" s="177">
        <v>0</v>
      </c>
      <c r="AF41" s="177">
        <v>0</v>
      </c>
      <c r="AG41" s="177">
        <v>0</v>
      </c>
      <c r="AH41" s="173"/>
      <c r="AI41" s="174"/>
    </row>
    <row r="42" spans="1:35" s="175" customFormat="1" ht="60" customHeight="1" x14ac:dyDescent="0.25">
      <c r="A42" s="444"/>
      <c r="B42" s="446" t="s">
        <v>317</v>
      </c>
      <c r="C42" s="170" t="s">
        <v>20</v>
      </c>
      <c r="D42" s="171">
        <f>D43</f>
        <v>2992.1</v>
      </c>
      <c r="E42" s="171">
        <f t="shared" ref="E42:G42" si="56">E43</f>
        <v>2992.1</v>
      </c>
      <c r="F42" s="171">
        <f t="shared" si="56"/>
        <v>2992.1</v>
      </c>
      <c r="G42" s="171">
        <f t="shared" si="56"/>
        <v>2992.1</v>
      </c>
      <c r="H42" s="172">
        <f t="shared" si="46"/>
        <v>100</v>
      </c>
      <c r="I42" s="172">
        <f t="shared" si="47"/>
        <v>100</v>
      </c>
      <c r="J42" s="177">
        <f t="shared" ref="J42:AF42" si="57">J43</f>
        <v>2992.1</v>
      </c>
      <c r="K42" s="177">
        <v>2992.1</v>
      </c>
      <c r="L42" s="177">
        <f t="shared" si="57"/>
        <v>0</v>
      </c>
      <c r="M42" s="177">
        <f t="shared" si="57"/>
        <v>0</v>
      </c>
      <c r="N42" s="177">
        <f t="shared" si="57"/>
        <v>0</v>
      </c>
      <c r="O42" s="177">
        <f t="shared" si="57"/>
        <v>0</v>
      </c>
      <c r="P42" s="311">
        <f t="shared" si="57"/>
        <v>0</v>
      </c>
      <c r="Q42" s="311">
        <f t="shared" si="57"/>
        <v>0</v>
      </c>
      <c r="R42" s="177">
        <f t="shared" si="57"/>
        <v>0</v>
      </c>
      <c r="S42" s="177">
        <f t="shared" si="57"/>
        <v>0</v>
      </c>
      <c r="T42" s="177">
        <f t="shared" si="57"/>
        <v>0</v>
      </c>
      <c r="U42" s="177">
        <f t="shared" si="57"/>
        <v>0</v>
      </c>
      <c r="V42" s="177">
        <f t="shared" si="57"/>
        <v>0</v>
      </c>
      <c r="W42" s="177">
        <f t="shared" si="57"/>
        <v>0</v>
      </c>
      <c r="X42" s="177">
        <f t="shared" si="57"/>
        <v>0</v>
      </c>
      <c r="Y42" s="177">
        <f t="shared" si="57"/>
        <v>0</v>
      </c>
      <c r="Z42" s="177">
        <f t="shared" si="57"/>
        <v>0</v>
      </c>
      <c r="AA42" s="177">
        <f t="shared" si="57"/>
        <v>0</v>
      </c>
      <c r="AB42" s="177">
        <f t="shared" si="57"/>
        <v>0</v>
      </c>
      <c r="AC42" s="177">
        <f t="shared" si="57"/>
        <v>0</v>
      </c>
      <c r="AD42" s="177">
        <f t="shared" si="57"/>
        <v>0</v>
      </c>
      <c r="AE42" s="177">
        <f t="shared" si="57"/>
        <v>0</v>
      </c>
      <c r="AF42" s="177">
        <f t="shared" si="57"/>
        <v>0</v>
      </c>
      <c r="AG42" s="177">
        <f>AG43</f>
        <v>0</v>
      </c>
      <c r="AH42" s="173"/>
      <c r="AI42" s="174"/>
    </row>
    <row r="43" spans="1:35" s="175" customFormat="1" ht="100.15" customHeight="1" x14ac:dyDescent="0.25">
      <c r="A43" s="445"/>
      <c r="B43" s="447"/>
      <c r="C43" s="170" t="s">
        <v>21</v>
      </c>
      <c r="D43" s="171">
        <f>SUM(J43,L43,N43,P43,R43,T43,V43,X43,Z43,AB43,AD43,AF43)</f>
        <v>2992.1</v>
      </c>
      <c r="E43" s="172">
        <f>J43+L43+N43+P43+R43+T43+V43+X43+Z43</f>
        <v>2992.1</v>
      </c>
      <c r="F43" s="172">
        <f>G43</f>
        <v>2992.1</v>
      </c>
      <c r="G43" s="172">
        <f>SUM(K43,M43,O43,Q43,S43,U43,W43,Y43,AA43,AC43,AE43,AG43)</f>
        <v>2992.1</v>
      </c>
      <c r="H43" s="172">
        <f>IFERROR(G43/D43*100,0)</f>
        <v>100</v>
      </c>
      <c r="I43" s="172">
        <f>IFERROR(G43/E43*100,0)</f>
        <v>100</v>
      </c>
      <c r="J43" s="177">
        <v>2992.1</v>
      </c>
      <c r="K43" s="177">
        <v>2992.1</v>
      </c>
      <c r="L43" s="177">
        <v>0</v>
      </c>
      <c r="M43" s="177">
        <v>0</v>
      </c>
      <c r="N43" s="177">
        <v>0</v>
      </c>
      <c r="O43" s="177">
        <v>0</v>
      </c>
      <c r="P43" s="311">
        <v>0</v>
      </c>
      <c r="Q43" s="311">
        <v>0</v>
      </c>
      <c r="R43" s="177">
        <v>0</v>
      </c>
      <c r="S43" s="177">
        <v>0</v>
      </c>
      <c r="T43" s="177">
        <v>0</v>
      </c>
      <c r="U43" s="177">
        <v>0</v>
      </c>
      <c r="V43" s="177">
        <v>0</v>
      </c>
      <c r="W43" s="177">
        <v>0</v>
      </c>
      <c r="X43" s="177">
        <v>0</v>
      </c>
      <c r="Y43" s="177">
        <v>0</v>
      </c>
      <c r="Z43" s="177">
        <v>0</v>
      </c>
      <c r="AA43" s="177">
        <v>0</v>
      </c>
      <c r="AB43" s="177">
        <v>0</v>
      </c>
      <c r="AC43" s="177">
        <v>0</v>
      </c>
      <c r="AD43" s="177">
        <v>0</v>
      </c>
      <c r="AE43" s="177">
        <v>0</v>
      </c>
      <c r="AF43" s="177">
        <v>0</v>
      </c>
      <c r="AG43" s="177">
        <v>0</v>
      </c>
      <c r="AH43" s="173"/>
      <c r="AI43" s="174"/>
    </row>
    <row r="44" spans="1:35" s="22" customFormat="1" ht="38.25" customHeight="1" x14ac:dyDescent="0.25">
      <c r="A44" s="539"/>
      <c r="B44" s="677" t="s">
        <v>318</v>
      </c>
      <c r="C44" s="123" t="s">
        <v>20</v>
      </c>
      <c r="D44" s="70">
        <f>D46+D45</f>
        <v>66925.506000000008</v>
      </c>
      <c r="E44" s="70">
        <f>E46+E45</f>
        <v>52811.316000000006</v>
      </c>
      <c r="F44" s="70">
        <f>F46+F45</f>
        <v>52383.316999999995</v>
      </c>
      <c r="G44" s="70">
        <f t="shared" ref="G44" si="58">G46+G45</f>
        <v>52383.316999999995</v>
      </c>
      <c r="H44" s="70">
        <f t="shared" ref="H44" si="59">IFERROR(G44/D44*100,0)</f>
        <v>78.271080983683532</v>
      </c>
      <c r="I44" s="70">
        <f t="shared" ref="I44" si="60">IFERROR(G44/E44*100,0)</f>
        <v>99.189569523319562</v>
      </c>
      <c r="J44" s="59">
        <f>J46+J45</f>
        <v>4664.6209999999992</v>
      </c>
      <c r="K44" s="59">
        <f t="shared" ref="K44:AF44" si="61">K46+K45</f>
        <v>4648.7209999999995</v>
      </c>
      <c r="L44" s="59">
        <f t="shared" si="61"/>
        <v>6305.8360000000002</v>
      </c>
      <c r="M44" s="59">
        <f t="shared" si="61"/>
        <v>5893.7359999999999</v>
      </c>
      <c r="N44" s="59">
        <f t="shared" si="61"/>
        <v>5852.7730000000001</v>
      </c>
      <c r="O44" s="59">
        <f t="shared" si="61"/>
        <v>5852.7730000000001</v>
      </c>
      <c r="P44" s="59">
        <f t="shared" si="61"/>
        <v>6281.32</v>
      </c>
      <c r="Q44" s="59">
        <f t="shared" si="61"/>
        <v>6281.3190000000004</v>
      </c>
      <c r="R44" s="59">
        <f t="shared" si="61"/>
        <v>4428.3670000000002</v>
      </c>
      <c r="S44" s="59">
        <f t="shared" si="61"/>
        <v>4428.3670000000002</v>
      </c>
      <c r="T44" s="59">
        <f t="shared" si="61"/>
        <v>3618.4229999999998</v>
      </c>
      <c r="U44" s="59">
        <f t="shared" si="61"/>
        <v>3618.4229999999998</v>
      </c>
      <c r="V44" s="59">
        <f t="shared" si="61"/>
        <v>7779.48</v>
      </c>
      <c r="W44" s="59">
        <f t="shared" si="61"/>
        <v>7779.4830000000002</v>
      </c>
      <c r="X44" s="59">
        <f t="shared" si="61"/>
        <v>4238.7340000000004</v>
      </c>
      <c r="Y44" s="59">
        <f t="shared" si="61"/>
        <v>4249.2340000000004</v>
      </c>
      <c r="Z44" s="59">
        <f t="shared" si="61"/>
        <v>5671.4</v>
      </c>
      <c r="AA44" s="59">
        <f t="shared" si="61"/>
        <v>5660.9</v>
      </c>
      <c r="AB44" s="59">
        <f t="shared" si="61"/>
        <v>3970.3620000000001</v>
      </c>
      <c r="AC44" s="59">
        <f t="shared" si="61"/>
        <v>3970.3609999999999</v>
      </c>
      <c r="AD44" s="59">
        <f t="shared" si="61"/>
        <v>3402.46</v>
      </c>
      <c r="AE44" s="59">
        <f t="shared" si="61"/>
        <v>0</v>
      </c>
      <c r="AF44" s="59">
        <f t="shared" si="61"/>
        <v>10711.73</v>
      </c>
      <c r="AG44" s="59">
        <f>AG46+AG45</f>
        <v>0</v>
      </c>
      <c r="AH44" s="60"/>
      <c r="AI44" s="20"/>
    </row>
    <row r="45" spans="1:35" s="22" customFormat="1" ht="49.9" customHeight="1" x14ac:dyDescent="0.25">
      <c r="A45" s="540"/>
      <c r="B45" s="678"/>
      <c r="C45" s="124" t="s">
        <v>21</v>
      </c>
      <c r="D45" s="74">
        <f>SUM(J45,L45,N45,P45,R45,T45,V45,X45,Z45,AB45,AD45,AF45)</f>
        <v>66497.506000000008</v>
      </c>
      <c r="E45" s="74">
        <f>J45+L45+N45+P45+R45+T45+V45+X45+Z45+AB45</f>
        <v>52383.316000000006</v>
      </c>
      <c r="F45" s="74">
        <f>K45+M45+O45+Q45+S45+U45+W45+Y45+AA45+AC45+AE45+AG45</f>
        <v>52383.316999999995</v>
      </c>
      <c r="G45" s="74">
        <f>SUM(K45,M45,O45,Q45,S45,U45,W45,Y45,AA45,AC45,AE45,AG45)</f>
        <v>52383.316999999995</v>
      </c>
      <c r="H45" s="74">
        <f>IFERROR(G45/D45*100,0)</f>
        <v>78.774859616539587</v>
      </c>
      <c r="I45" s="74">
        <f>IFERROR(G45/E45*100,0)</f>
        <v>100.00000190900475</v>
      </c>
      <c r="J45" s="67">
        <v>4648.7209999999995</v>
      </c>
      <c r="K45" s="67">
        <v>4648.7209999999995</v>
      </c>
      <c r="L45" s="67">
        <v>5893.7359999999999</v>
      </c>
      <c r="M45" s="67">
        <v>5893.7359999999999</v>
      </c>
      <c r="N45" s="67">
        <v>5852.7730000000001</v>
      </c>
      <c r="O45" s="67">
        <v>5852.7730000000001</v>
      </c>
      <c r="P45" s="67">
        <v>6281.32</v>
      </c>
      <c r="Q45" s="67">
        <v>6281.3190000000004</v>
      </c>
      <c r="R45" s="67">
        <v>4428.3670000000002</v>
      </c>
      <c r="S45" s="67">
        <v>4428.3670000000002</v>
      </c>
      <c r="T45" s="67">
        <v>3618.4229999999998</v>
      </c>
      <c r="U45" s="67">
        <v>3618.4229999999998</v>
      </c>
      <c r="V45" s="67">
        <v>7779.48</v>
      </c>
      <c r="W45" s="67">
        <v>7779.4830000000002</v>
      </c>
      <c r="X45" s="67">
        <v>4238.7340000000004</v>
      </c>
      <c r="Y45" s="67">
        <v>4249.2340000000004</v>
      </c>
      <c r="Z45" s="375">
        <v>5671.4</v>
      </c>
      <c r="AA45" s="67">
        <v>5660.9</v>
      </c>
      <c r="AB45" s="67">
        <v>3970.3620000000001</v>
      </c>
      <c r="AC45" s="67">
        <v>3970.3609999999999</v>
      </c>
      <c r="AD45" s="67">
        <v>3402.46</v>
      </c>
      <c r="AE45" s="67">
        <v>0</v>
      </c>
      <c r="AF45" s="67">
        <v>10711.73</v>
      </c>
      <c r="AG45" s="63">
        <v>0</v>
      </c>
      <c r="AH45" s="64" t="s">
        <v>385</v>
      </c>
      <c r="AI45" s="20"/>
    </row>
    <row r="46" spans="1:35" s="22" customFormat="1" ht="45.75" customHeight="1" x14ac:dyDescent="0.25">
      <c r="A46" s="541"/>
      <c r="B46" s="678"/>
      <c r="C46" s="375" t="s">
        <v>113</v>
      </c>
      <c r="D46" s="67">
        <v>428</v>
      </c>
      <c r="E46" s="67">
        <f>J46+L46+N46+P46+R46+T46+V46+X46+Z46</f>
        <v>428</v>
      </c>
      <c r="F46" s="67">
        <f>G46</f>
        <v>0</v>
      </c>
      <c r="G46" s="67">
        <f>SUM(K46,M46,O46,Q46,S46,U46,W46,Y46,AA46,AC46,AE46,AG46)</f>
        <v>0</v>
      </c>
      <c r="H46" s="67">
        <f>IFERROR(G46/D46*100,0)</f>
        <v>0</v>
      </c>
      <c r="I46" s="67">
        <f>IFERROR(G46/E46*100,0)</f>
        <v>0</v>
      </c>
      <c r="J46" s="67">
        <v>15.9</v>
      </c>
      <c r="K46" s="63">
        <v>0</v>
      </c>
      <c r="L46" s="63">
        <v>412.1</v>
      </c>
      <c r="M46" s="63">
        <v>0</v>
      </c>
      <c r="N46" s="63">
        <v>0</v>
      </c>
      <c r="O46" s="63">
        <v>0</v>
      </c>
      <c r="P46" s="63">
        <v>0</v>
      </c>
      <c r="Q46" s="63">
        <v>0</v>
      </c>
      <c r="R46" s="63">
        <v>0</v>
      </c>
      <c r="S46" s="63">
        <v>0</v>
      </c>
      <c r="T46" s="63">
        <v>0</v>
      </c>
      <c r="U46" s="63">
        <v>0</v>
      </c>
      <c r="V46" s="63">
        <v>0</v>
      </c>
      <c r="W46" s="63">
        <v>0</v>
      </c>
      <c r="X46" s="63">
        <v>0</v>
      </c>
      <c r="Y46" s="63">
        <v>0</v>
      </c>
      <c r="Z46" s="63">
        <v>0</v>
      </c>
      <c r="AA46" s="63">
        <v>0</v>
      </c>
      <c r="AB46" s="63">
        <v>0</v>
      </c>
      <c r="AC46" s="63">
        <v>0</v>
      </c>
      <c r="AD46" s="63">
        <v>0</v>
      </c>
      <c r="AE46" s="63">
        <v>0</v>
      </c>
      <c r="AF46" s="63">
        <v>0</v>
      </c>
      <c r="AG46" s="63">
        <v>0</v>
      </c>
      <c r="AH46" s="60"/>
      <c r="AI46" s="20"/>
    </row>
    <row r="47" spans="1:35" s="22" customFormat="1" ht="30.75" customHeight="1" x14ac:dyDescent="0.25">
      <c r="A47" s="545"/>
      <c r="B47" s="679" t="s">
        <v>319</v>
      </c>
      <c r="C47" s="183" t="s">
        <v>20</v>
      </c>
      <c r="D47" s="184">
        <f>D48</f>
        <v>594.99900000000002</v>
      </c>
      <c r="E47" s="184">
        <f t="shared" ref="E47:G47" si="62">E48</f>
        <v>594.99899999999991</v>
      </c>
      <c r="F47" s="184">
        <f t="shared" si="62"/>
        <v>300.99799999999999</v>
      </c>
      <c r="G47" s="184">
        <f t="shared" si="62"/>
        <v>300.99799999999999</v>
      </c>
      <c r="H47" s="184">
        <f t="shared" ref="H47" si="63">IFERROR(G47/D47*100,0)</f>
        <v>50.587984181486014</v>
      </c>
      <c r="I47" s="184">
        <f t="shared" ref="I47" si="64">IFERROR(G47/E47*100,0)</f>
        <v>50.587984181486021</v>
      </c>
      <c r="J47" s="185">
        <f>J48</f>
        <v>0</v>
      </c>
      <c r="K47" s="185">
        <f t="shared" ref="K47:AG47" si="65">K48</f>
        <v>0</v>
      </c>
      <c r="L47" s="185">
        <f t="shared" si="65"/>
        <v>0</v>
      </c>
      <c r="M47" s="185">
        <f t="shared" si="65"/>
        <v>0</v>
      </c>
      <c r="N47" s="185">
        <f t="shared" si="65"/>
        <v>0</v>
      </c>
      <c r="O47" s="185">
        <f t="shared" si="65"/>
        <v>0</v>
      </c>
      <c r="P47" s="185">
        <f t="shared" si="65"/>
        <v>3.8969999999999998</v>
      </c>
      <c r="Q47" s="185">
        <f t="shared" si="65"/>
        <v>3.8969999999999998</v>
      </c>
      <c r="R47" s="185">
        <f t="shared" si="65"/>
        <v>311.24599999999998</v>
      </c>
      <c r="S47" s="185">
        <f t="shared" si="65"/>
        <v>17.245000000000001</v>
      </c>
      <c r="T47" s="185">
        <f t="shared" si="65"/>
        <v>123.13200000000001</v>
      </c>
      <c r="U47" s="185">
        <f t="shared" si="65"/>
        <v>123.13200000000001</v>
      </c>
      <c r="V47" s="185">
        <f t="shared" si="65"/>
        <v>78.316000000000003</v>
      </c>
      <c r="W47" s="185">
        <f t="shared" si="65"/>
        <v>78.316000000000003</v>
      </c>
      <c r="X47" s="185">
        <f t="shared" si="65"/>
        <v>78.408000000000001</v>
      </c>
      <c r="Y47" s="185">
        <f t="shared" si="65"/>
        <v>78.408000000000001</v>
      </c>
      <c r="Z47" s="185">
        <f t="shared" si="65"/>
        <v>0</v>
      </c>
      <c r="AA47" s="185">
        <f t="shared" si="65"/>
        <v>0</v>
      </c>
      <c r="AB47" s="185">
        <f t="shared" si="65"/>
        <v>0</v>
      </c>
      <c r="AC47" s="185">
        <f t="shared" si="65"/>
        <v>0</v>
      </c>
      <c r="AD47" s="185">
        <f t="shared" si="65"/>
        <v>0</v>
      </c>
      <c r="AE47" s="185">
        <f t="shared" si="65"/>
        <v>0</v>
      </c>
      <c r="AF47" s="185">
        <f t="shared" si="65"/>
        <v>0</v>
      </c>
      <c r="AG47" s="185">
        <f t="shared" si="65"/>
        <v>0</v>
      </c>
      <c r="AH47" s="64" t="s">
        <v>382</v>
      </c>
      <c r="AI47" s="20"/>
    </row>
    <row r="48" spans="1:35" s="22" customFormat="1" ht="52.9" customHeight="1" x14ac:dyDescent="0.25">
      <c r="A48" s="546"/>
      <c r="B48" s="680"/>
      <c r="C48" s="186" t="s">
        <v>21</v>
      </c>
      <c r="D48" s="187">
        <f>SUM(J48,L48,N48,P48,R48,T48,V48,X48,Z48,AB48,AD48,AF48)</f>
        <v>594.99900000000002</v>
      </c>
      <c r="E48" s="187">
        <f>J48+L48+N48+P48+R48+V48+T48+X48+Z48+AB48</f>
        <v>594.99899999999991</v>
      </c>
      <c r="F48" s="187">
        <f>G48</f>
        <v>300.99799999999999</v>
      </c>
      <c r="G48" s="187">
        <f>SUM(K48,M48,O48,Q48,S48,U48,W48,Y48,AA48,AC48,AE48,AG48)</f>
        <v>300.99799999999999</v>
      </c>
      <c r="H48" s="187">
        <f>IFERROR(G48/D48*100,0)</f>
        <v>50.587984181486014</v>
      </c>
      <c r="I48" s="187">
        <f>IFERROR(G48/E48*100,0)</f>
        <v>50.587984181486021</v>
      </c>
      <c r="J48" s="193">
        <f>J50+J52</f>
        <v>0</v>
      </c>
      <c r="K48" s="193">
        <f t="shared" ref="K48:AG48" si="66">K50+K52</f>
        <v>0</v>
      </c>
      <c r="L48" s="193">
        <f t="shared" si="66"/>
        <v>0</v>
      </c>
      <c r="M48" s="193">
        <f t="shared" si="66"/>
        <v>0</v>
      </c>
      <c r="N48" s="193">
        <f t="shared" si="66"/>
        <v>0</v>
      </c>
      <c r="O48" s="193">
        <f t="shared" si="66"/>
        <v>0</v>
      </c>
      <c r="P48" s="193">
        <f t="shared" si="66"/>
        <v>3.8969999999999998</v>
      </c>
      <c r="Q48" s="193">
        <f t="shared" si="66"/>
        <v>3.8969999999999998</v>
      </c>
      <c r="R48" s="193">
        <f t="shared" si="66"/>
        <v>311.24599999999998</v>
      </c>
      <c r="S48" s="193">
        <f t="shared" si="66"/>
        <v>17.245000000000001</v>
      </c>
      <c r="T48" s="193">
        <f t="shared" si="66"/>
        <v>123.13200000000001</v>
      </c>
      <c r="U48" s="193">
        <f t="shared" si="66"/>
        <v>123.13200000000001</v>
      </c>
      <c r="V48" s="193">
        <f t="shared" si="66"/>
        <v>78.316000000000003</v>
      </c>
      <c r="W48" s="193">
        <v>78.316000000000003</v>
      </c>
      <c r="X48" s="193">
        <f t="shared" si="66"/>
        <v>78.408000000000001</v>
      </c>
      <c r="Y48" s="193">
        <v>78.408000000000001</v>
      </c>
      <c r="Z48" s="193">
        <f t="shared" si="66"/>
        <v>0</v>
      </c>
      <c r="AA48" s="193">
        <f t="shared" si="66"/>
        <v>0</v>
      </c>
      <c r="AB48" s="193">
        <f t="shared" si="66"/>
        <v>0</v>
      </c>
      <c r="AC48" s="193">
        <f t="shared" si="66"/>
        <v>0</v>
      </c>
      <c r="AD48" s="193">
        <f t="shared" si="66"/>
        <v>0</v>
      </c>
      <c r="AE48" s="193">
        <f t="shared" si="66"/>
        <v>0</v>
      </c>
      <c r="AF48" s="193">
        <f t="shared" si="66"/>
        <v>0</v>
      </c>
      <c r="AG48" s="193">
        <f t="shared" si="66"/>
        <v>0</v>
      </c>
      <c r="AH48" s="60"/>
      <c r="AI48" s="20"/>
    </row>
    <row r="49" spans="1:35" s="22" customFormat="1" ht="101.45" customHeight="1" x14ac:dyDescent="0.25">
      <c r="A49" s="558"/>
      <c r="B49" s="681" t="s">
        <v>320</v>
      </c>
      <c r="C49" s="126" t="s">
        <v>20</v>
      </c>
      <c r="D49" s="74">
        <f>D50</f>
        <v>300.99900000000002</v>
      </c>
      <c r="E49" s="74">
        <f t="shared" ref="E49:F49" si="67">E50</f>
        <v>300.99900000000002</v>
      </c>
      <c r="F49" s="74">
        <f t="shared" si="67"/>
        <v>301</v>
      </c>
      <c r="G49" s="74">
        <f>G50</f>
        <v>301</v>
      </c>
      <c r="H49" s="62">
        <f t="shared" ref="H49" si="68">IFERROR(G49/D49*100,0)</f>
        <v>100.00033222701737</v>
      </c>
      <c r="I49" s="62">
        <f t="shared" ref="I49" si="69">IFERROR(G49/E49*100,0)</f>
        <v>100.00033222701737</v>
      </c>
      <c r="J49" s="63">
        <f>J50</f>
        <v>0</v>
      </c>
      <c r="K49" s="63">
        <f t="shared" ref="K49:AG49" si="70">K50</f>
        <v>0</v>
      </c>
      <c r="L49" s="63">
        <f t="shared" si="70"/>
        <v>0</v>
      </c>
      <c r="M49" s="63">
        <f t="shared" si="70"/>
        <v>0</v>
      </c>
      <c r="N49" s="63">
        <f t="shared" si="70"/>
        <v>0</v>
      </c>
      <c r="O49" s="63">
        <f t="shared" si="70"/>
        <v>0</v>
      </c>
      <c r="P49" s="63">
        <f t="shared" si="70"/>
        <v>3.8969999999999998</v>
      </c>
      <c r="Q49" s="63">
        <f t="shared" si="70"/>
        <v>3.8969999999999998</v>
      </c>
      <c r="R49" s="63">
        <f t="shared" si="70"/>
        <v>17.245999999999999</v>
      </c>
      <c r="S49" s="63">
        <f t="shared" si="70"/>
        <v>17.245000000000001</v>
      </c>
      <c r="T49" s="63">
        <f t="shared" si="70"/>
        <v>123.13200000000001</v>
      </c>
      <c r="U49" s="63">
        <f t="shared" si="70"/>
        <v>123.13200000000001</v>
      </c>
      <c r="V49" s="63">
        <f t="shared" si="70"/>
        <v>78.316000000000003</v>
      </c>
      <c r="W49" s="63">
        <f t="shared" si="70"/>
        <v>78.316000000000003</v>
      </c>
      <c r="X49" s="63">
        <f t="shared" si="70"/>
        <v>78.408000000000001</v>
      </c>
      <c r="Y49" s="63">
        <f t="shared" si="70"/>
        <v>78.41</v>
      </c>
      <c r="Z49" s="63">
        <f t="shared" si="70"/>
        <v>0</v>
      </c>
      <c r="AA49" s="63">
        <f t="shared" si="70"/>
        <v>0</v>
      </c>
      <c r="AB49" s="63">
        <f t="shared" si="70"/>
        <v>0</v>
      </c>
      <c r="AC49" s="63">
        <f t="shared" si="70"/>
        <v>0</v>
      </c>
      <c r="AD49" s="63">
        <f t="shared" si="70"/>
        <v>0</v>
      </c>
      <c r="AE49" s="63">
        <f t="shared" si="70"/>
        <v>0</v>
      </c>
      <c r="AF49" s="63">
        <f t="shared" si="70"/>
        <v>0</v>
      </c>
      <c r="AG49" s="63">
        <f t="shared" si="70"/>
        <v>0</v>
      </c>
      <c r="AH49" s="64" t="s">
        <v>388</v>
      </c>
      <c r="AI49" s="20"/>
    </row>
    <row r="50" spans="1:35" s="22" customFormat="1" ht="37.9" customHeight="1" x14ac:dyDescent="0.25">
      <c r="A50" s="559"/>
      <c r="B50" s="682"/>
      <c r="C50" s="126" t="s">
        <v>21</v>
      </c>
      <c r="D50" s="74">
        <f>SUM(J50,L50,N50,P50,R50,T50,V50,X50,Z50,AB50,AD50,AF50)</f>
        <v>300.99900000000002</v>
      </c>
      <c r="E50" s="62">
        <f>J50+L50+N50+P50+R50+T50+V50+X50+Z50</f>
        <v>300.99900000000002</v>
      </c>
      <c r="F50" s="62">
        <f>G50</f>
        <v>301</v>
      </c>
      <c r="G50" s="62">
        <f>SUM(K50,M50,O50,Q50,S50,U50,W50,Y50,AA50,AC50,AE50,AG50)</f>
        <v>301</v>
      </c>
      <c r="H50" s="62">
        <f>IFERROR(G50/D50*100,0)</f>
        <v>100.00033222701737</v>
      </c>
      <c r="I50" s="62">
        <f>IFERROR(G50/E50*100,0)</f>
        <v>100.00033222701737</v>
      </c>
      <c r="J50" s="63">
        <v>0</v>
      </c>
      <c r="K50" s="63">
        <v>0</v>
      </c>
      <c r="L50" s="63">
        <v>0</v>
      </c>
      <c r="M50" s="63">
        <v>0</v>
      </c>
      <c r="N50" s="63">
        <v>0</v>
      </c>
      <c r="O50" s="63">
        <v>0</v>
      </c>
      <c r="P50" s="63">
        <v>3.8969999999999998</v>
      </c>
      <c r="Q50" s="63">
        <v>3.8969999999999998</v>
      </c>
      <c r="R50" s="63">
        <v>17.245999999999999</v>
      </c>
      <c r="S50" s="63">
        <v>17.245000000000001</v>
      </c>
      <c r="T50" s="63">
        <v>123.13200000000001</v>
      </c>
      <c r="U50" s="63">
        <v>123.13200000000001</v>
      </c>
      <c r="V50" s="63">
        <v>78.316000000000003</v>
      </c>
      <c r="W50" s="63">
        <v>78.316000000000003</v>
      </c>
      <c r="X50" s="63">
        <v>78.408000000000001</v>
      </c>
      <c r="Y50" s="63">
        <v>78.41</v>
      </c>
      <c r="Z50" s="63">
        <v>0</v>
      </c>
      <c r="AA50" s="63">
        <v>0</v>
      </c>
      <c r="AB50" s="63">
        <v>0</v>
      </c>
      <c r="AC50" s="63">
        <v>0</v>
      </c>
      <c r="AD50" s="63">
        <v>0</v>
      </c>
      <c r="AE50" s="63">
        <v>0</v>
      </c>
      <c r="AF50" s="63">
        <v>0</v>
      </c>
      <c r="AG50" s="63">
        <v>0</v>
      </c>
      <c r="AH50" s="64"/>
      <c r="AI50" s="20"/>
    </row>
    <row r="51" spans="1:35" s="22" customFormat="1" ht="30.75" customHeight="1" x14ac:dyDescent="0.25">
      <c r="A51" s="162"/>
      <c r="B51" s="672" t="s">
        <v>321</v>
      </c>
      <c r="C51" s="126" t="s">
        <v>20</v>
      </c>
      <c r="D51" s="74">
        <f t="shared" ref="D51" si="71">D52</f>
        <v>294</v>
      </c>
      <c r="E51" s="62">
        <f>E52</f>
        <v>294</v>
      </c>
      <c r="F51" s="62">
        <f>G51</f>
        <v>0</v>
      </c>
      <c r="G51" s="62">
        <f>G52</f>
        <v>0</v>
      </c>
      <c r="H51" s="62">
        <f t="shared" ref="H51:H52" si="72">IFERROR(G51/D51*100,0)</f>
        <v>0</v>
      </c>
      <c r="I51" s="62">
        <f t="shared" ref="I51:I52" si="73">IFERROR(G51/E51*100,0)</f>
        <v>0</v>
      </c>
      <c r="J51" s="62">
        <f t="shared" ref="J51:AG51" si="74">J52</f>
        <v>0</v>
      </c>
      <c r="K51" s="62">
        <f t="shared" si="74"/>
        <v>0</v>
      </c>
      <c r="L51" s="62">
        <f t="shared" si="74"/>
        <v>0</v>
      </c>
      <c r="M51" s="62">
        <f t="shared" si="74"/>
        <v>0</v>
      </c>
      <c r="N51" s="62">
        <f t="shared" si="74"/>
        <v>0</v>
      </c>
      <c r="O51" s="62">
        <f t="shared" si="74"/>
        <v>0</v>
      </c>
      <c r="P51" s="62">
        <f t="shared" si="74"/>
        <v>0</v>
      </c>
      <c r="Q51" s="62">
        <f t="shared" si="74"/>
        <v>0</v>
      </c>
      <c r="R51" s="62">
        <f t="shared" si="74"/>
        <v>294</v>
      </c>
      <c r="S51" s="62">
        <f t="shared" si="74"/>
        <v>0</v>
      </c>
      <c r="T51" s="62">
        <f t="shared" si="74"/>
        <v>0</v>
      </c>
      <c r="U51" s="62">
        <f t="shared" si="74"/>
        <v>0</v>
      </c>
      <c r="V51" s="62">
        <f t="shared" si="74"/>
        <v>0</v>
      </c>
      <c r="W51" s="62">
        <f t="shared" si="74"/>
        <v>0</v>
      </c>
      <c r="X51" s="62">
        <f t="shared" si="74"/>
        <v>0</v>
      </c>
      <c r="Y51" s="62">
        <f t="shared" si="74"/>
        <v>0</v>
      </c>
      <c r="Z51" s="62">
        <f t="shared" si="74"/>
        <v>0</v>
      </c>
      <c r="AA51" s="62">
        <f t="shared" si="74"/>
        <v>0</v>
      </c>
      <c r="AB51" s="62">
        <f t="shared" si="74"/>
        <v>0</v>
      </c>
      <c r="AC51" s="62">
        <f t="shared" si="74"/>
        <v>0</v>
      </c>
      <c r="AD51" s="62">
        <f t="shared" si="74"/>
        <v>0</v>
      </c>
      <c r="AE51" s="62">
        <f t="shared" si="74"/>
        <v>0</v>
      </c>
      <c r="AF51" s="62">
        <f t="shared" si="74"/>
        <v>0</v>
      </c>
      <c r="AG51" s="62">
        <f t="shared" si="74"/>
        <v>0</v>
      </c>
      <c r="AH51" s="64"/>
      <c r="AI51" s="20"/>
    </row>
    <row r="52" spans="1:35" s="22" customFormat="1" ht="81" customHeight="1" x14ac:dyDescent="0.25">
      <c r="A52" s="162"/>
      <c r="B52" s="672"/>
      <c r="C52" s="126" t="s">
        <v>21</v>
      </c>
      <c r="D52" s="74">
        <f>SUM(J52,L52,N52,P52,R52,T52,V52,X52,Z52,AB52,AD52,AF52)</f>
        <v>294</v>
      </c>
      <c r="E52" s="62">
        <f>J52+L52+N52+P52+R52+T52+V52+X52+Z52</f>
        <v>294</v>
      </c>
      <c r="F52" s="62">
        <f t="shared" ref="F52" si="75">G52</f>
        <v>0</v>
      </c>
      <c r="G52" s="62">
        <f t="shared" ref="G52" si="76">SUM(K52,M52,O52,Q52,S52,U52,W52,Y52,AA52,AC52,AE52,AG52)</f>
        <v>0</v>
      </c>
      <c r="H52" s="62">
        <f t="shared" si="72"/>
        <v>0</v>
      </c>
      <c r="I52" s="62">
        <f t="shared" si="73"/>
        <v>0</v>
      </c>
      <c r="J52" s="63">
        <v>0</v>
      </c>
      <c r="K52" s="63">
        <v>0</v>
      </c>
      <c r="L52" s="63">
        <v>0</v>
      </c>
      <c r="M52" s="63">
        <v>0</v>
      </c>
      <c r="N52" s="63">
        <v>0</v>
      </c>
      <c r="O52" s="63">
        <v>0</v>
      </c>
      <c r="P52" s="63">
        <v>0</v>
      </c>
      <c r="Q52" s="63">
        <v>0</v>
      </c>
      <c r="R52" s="63">
        <v>294</v>
      </c>
      <c r="S52" s="63">
        <v>0</v>
      </c>
      <c r="T52" s="63">
        <v>0</v>
      </c>
      <c r="U52" s="63">
        <v>0</v>
      </c>
      <c r="V52" s="63">
        <v>0</v>
      </c>
      <c r="W52" s="63">
        <v>0</v>
      </c>
      <c r="X52" s="63">
        <v>0</v>
      </c>
      <c r="Y52" s="63">
        <v>0</v>
      </c>
      <c r="Z52" s="63">
        <v>0</v>
      </c>
      <c r="AA52" s="63">
        <v>0</v>
      </c>
      <c r="AB52" s="63">
        <v>0</v>
      </c>
      <c r="AC52" s="63">
        <v>0</v>
      </c>
      <c r="AD52" s="63">
        <v>0</v>
      </c>
      <c r="AE52" s="63">
        <v>0</v>
      </c>
      <c r="AF52" s="63">
        <v>0</v>
      </c>
      <c r="AG52" s="63">
        <v>0</v>
      </c>
      <c r="AH52" s="64" t="s">
        <v>389</v>
      </c>
      <c r="AI52" s="20"/>
    </row>
    <row r="53" spans="1:35" s="18" customFormat="1" ht="21.75" customHeight="1" x14ac:dyDescent="0.25">
      <c r="A53" s="163"/>
      <c r="B53" s="536" t="s">
        <v>32</v>
      </c>
      <c r="C53" s="537"/>
      <c r="D53" s="537"/>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8"/>
      <c r="AH53" s="46"/>
      <c r="AI53" s="19"/>
    </row>
    <row r="54" spans="1:35" s="30" customFormat="1" ht="27" customHeight="1" x14ac:dyDescent="0.25">
      <c r="A54" s="673" t="s">
        <v>322</v>
      </c>
      <c r="B54" s="675" t="s">
        <v>34</v>
      </c>
      <c r="C54" s="183" t="s">
        <v>20</v>
      </c>
      <c r="D54" s="184">
        <f>D55</f>
        <v>27364.999</v>
      </c>
      <c r="E54" s="184">
        <f>E55</f>
        <v>23584.741999999998</v>
      </c>
      <c r="F54" s="184">
        <f>F55</f>
        <v>21637.156000000003</v>
      </c>
      <c r="G54" s="184">
        <f t="shared" ref="G54" si="77">G55</f>
        <v>21637.156000000003</v>
      </c>
      <c r="H54" s="184">
        <f t="shared" ref="H54:H61" si="78">IFERROR(G54/D54*100,0)</f>
        <v>79.068725710532647</v>
      </c>
      <c r="I54" s="184">
        <f t="shared" ref="I54:I61" si="79">IFERROR(G54/E54*100,0)</f>
        <v>91.742178057321993</v>
      </c>
      <c r="J54" s="185">
        <f t="shared" ref="J54:AG54" si="80">SUM(J55:J55)</f>
        <v>4021.8620000000001</v>
      </c>
      <c r="K54" s="185">
        <f t="shared" si="80"/>
        <v>1653.05</v>
      </c>
      <c r="L54" s="185">
        <f t="shared" si="80"/>
        <v>2341.7439999999997</v>
      </c>
      <c r="M54" s="185">
        <f t="shared" si="80"/>
        <v>2275.7719999999999</v>
      </c>
      <c r="N54" s="185">
        <f t="shared" si="80"/>
        <v>1578.9070000000002</v>
      </c>
      <c r="O54" s="185">
        <f t="shared" si="80"/>
        <v>1799.63</v>
      </c>
      <c r="P54" s="185">
        <f t="shared" si="80"/>
        <v>3345.3140000000003</v>
      </c>
      <c r="Q54" s="185">
        <f t="shared" si="80"/>
        <v>1604.3829999999998</v>
      </c>
      <c r="R54" s="185">
        <f t="shared" si="80"/>
        <v>2283.3710000000001</v>
      </c>
      <c r="S54" s="185">
        <f t="shared" si="80"/>
        <v>1878.6780000000001</v>
      </c>
      <c r="T54" s="185">
        <f t="shared" si="80"/>
        <v>1456.636</v>
      </c>
      <c r="U54" s="185">
        <f t="shared" si="80"/>
        <v>3360.2440000000001</v>
      </c>
      <c r="V54" s="185">
        <f t="shared" si="80"/>
        <v>2871.078</v>
      </c>
      <c r="W54" s="185">
        <f t="shared" si="80"/>
        <v>2240.4299999999998</v>
      </c>
      <c r="X54" s="185">
        <f t="shared" si="80"/>
        <v>2130.2159999999999</v>
      </c>
      <c r="Y54" s="185">
        <f t="shared" si="80"/>
        <v>1763.9829999999999</v>
      </c>
      <c r="Z54" s="185">
        <f t="shared" si="80"/>
        <v>1578.9070000000002</v>
      </c>
      <c r="AA54" s="185">
        <f t="shared" si="80"/>
        <v>2812.681</v>
      </c>
      <c r="AB54" s="185">
        <f t="shared" si="80"/>
        <v>1976.7070000000001</v>
      </c>
      <c r="AC54" s="185">
        <f t="shared" si="80"/>
        <v>2248.3050000000003</v>
      </c>
      <c r="AD54" s="185">
        <f t="shared" si="80"/>
        <v>1868.5070000000001</v>
      </c>
      <c r="AE54" s="185">
        <f t="shared" si="80"/>
        <v>0</v>
      </c>
      <c r="AF54" s="185">
        <f t="shared" si="80"/>
        <v>1911.75</v>
      </c>
      <c r="AG54" s="185">
        <f t="shared" si="80"/>
        <v>0</v>
      </c>
      <c r="AH54" s="64" t="s">
        <v>445</v>
      </c>
      <c r="AI54" s="29"/>
    </row>
    <row r="55" spans="1:35" s="31" customFormat="1" ht="54" customHeight="1" x14ac:dyDescent="0.25">
      <c r="A55" s="674"/>
      <c r="B55" s="676"/>
      <c r="C55" s="186" t="s">
        <v>21</v>
      </c>
      <c r="D55" s="187">
        <f>SUM(J55,L55,N55,P55,R55,T55,V55,X55,Z55,AB55,AD55,AF55)</f>
        <v>27364.999</v>
      </c>
      <c r="E55" s="187">
        <f>J55+L55+N55+P55+R55+T55+V55+X55+Z55+AB55</f>
        <v>23584.741999999998</v>
      </c>
      <c r="F55" s="187">
        <f>K55+M55+O55+Q55+S55+U55+W55+Y55+AA55+AC55</f>
        <v>21637.156000000003</v>
      </c>
      <c r="G55" s="187">
        <f>SUM(K55,M55,O55,Q55,S55,U55,W55,Y55,AA55,AC55,AE55,AG55)</f>
        <v>21637.156000000003</v>
      </c>
      <c r="H55" s="187">
        <f t="shared" si="78"/>
        <v>79.068725710532647</v>
      </c>
      <c r="I55" s="187">
        <f t="shared" si="79"/>
        <v>91.742178057321993</v>
      </c>
      <c r="J55" s="193">
        <f>J57+J59+J61</f>
        <v>4021.8620000000001</v>
      </c>
      <c r="K55" s="193">
        <f t="shared" ref="K55:AG55" si="81">K57+K59+K61</f>
        <v>1653.05</v>
      </c>
      <c r="L55" s="193">
        <f t="shared" si="81"/>
        <v>2341.7439999999997</v>
      </c>
      <c r="M55" s="193">
        <f t="shared" si="81"/>
        <v>2275.7719999999999</v>
      </c>
      <c r="N55" s="193">
        <f t="shared" si="81"/>
        <v>1578.9070000000002</v>
      </c>
      <c r="O55" s="193">
        <f t="shared" si="81"/>
        <v>1799.63</v>
      </c>
      <c r="P55" s="193">
        <f t="shared" si="81"/>
        <v>3345.3140000000003</v>
      </c>
      <c r="Q55" s="193">
        <f t="shared" si="81"/>
        <v>1604.3829999999998</v>
      </c>
      <c r="R55" s="193">
        <f t="shared" si="81"/>
        <v>2283.3710000000001</v>
      </c>
      <c r="S55" s="193">
        <f t="shared" si="81"/>
        <v>1878.6780000000001</v>
      </c>
      <c r="T55" s="193">
        <f t="shared" si="81"/>
        <v>1456.636</v>
      </c>
      <c r="U55" s="193">
        <f t="shared" si="81"/>
        <v>3360.2440000000001</v>
      </c>
      <c r="V55" s="193">
        <f t="shared" si="81"/>
        <v>2871.078</v>
      </c>
      <c r="W55" s="193">
        <f t="shared" si="81"/>
        <v>2240.4299999999998</v>
      </c>
      <c r="X55" s="193">
        <f t="shared" si="81"/>
        <v>2130.2159999999999</v>
      </c>
      <c r="Y55" s="193">
        <f t="shared" si="81"/>
        <v>1763.9829999999999</v>
      </c>
      <c r="Z55" s="193">
        <f t="shared" si="81"/>
        <v>1578.9070000000002</v>
      </c>
      <c r="AA55" s="193">
        <f t="shared" si="81"/>
        <v>2812.681</v>
      </c>
      <c r="AB55" s="193">
        <f t="shared" si="81"/>
        <v>1976.7070000000001</v>
      </c>
      <c r="AC55" s="193">
        <f t="shared" si="81"/>
        <v>2248.3050000000003</v>
      </c>
      <c r="AD55" s="193">
        <f t="shared" si="81"/>
        <v>1868.5070000000001</v>
      </c>
      <c r="AE55" s="193">
        <f t="shared" si="81"/>
        <v>0</v>
      </c>
      <c r="AF55" s="193">
        <f t="shared" si="81"/>
        <v>1911.75</v>
      </c>
      <c r="AG55" s="193">
        <f t="shared" si="81"/>
        <v>0</v>
      </c>
      <c r="AH55" s="43"/>
      <c r="AI55" s="29"/>
    </row>
    <row r="56" spans="1:35" s="10" customFormat="1" ht="30.75" customHeight="1" x14ac:dyDescent="0.25">
      <c r="A56" s="569"/>
      <c r="B56" s="613" t="s">
        <v>323</v>
      </c>
      <c r="C56" s="123" t="s">
        <v>20</v>
      </c>
      <c r="D56" s="70">
        <f>D57</f>
        <v>5436.5</v>
      </c>
      <c r="E56" s="70">
        <f t="shared" ref="E56:G56" si="82">E57</f>
        <v>4679.9549999999999</v>
      </c>
      <c r="F56" s="70">
        <f t="shared" si="82"/>
        <v>4199.473</v>
      </c>
      <c r="G56" s="70">
        <f t="shared" si="82"/>
        <v>4199.473</v>
      </c>
      <c r="H56" s="70">
        <f t="shared" si="78"/>
        <v>77.245893497654734</v>
      </c>
      <c r="I56" s="70">
        <f t="shared" si="79"/>
        <v>89.733191878981742</v>
      </c>
      <c r="J56" s="71">
        <f t="shared" ref="J56:AG56" si="83">SUM(J57:J57)</f>
        <v>791.31200000000001</v>
      </c>
      <c r="K56" s="71">
        <f t="shared" si="83"/>
        <v>293.041</v>
      </c>
      <c r="L56" s="71">
        <f t="shared" si="83"/>
        <v>467.18099999999998</v>
      </c>
      <c r="M56" s="71">
        <f t="shared" si="83"/>
        <v>416.40300000000002</v>
      </c>
      <c r="N56" s="71">
        <f t="shared" si="83"/>
        <v>313.41399999999999</v>
      </c>
      <c r="O56" s="71">
        <f t="shared" si="83"/>
        <v>306.27699999999999</v>
      </c>
      <c r="P56" s="71">
        <f t="shared" si="83"/>
        <v>669.47400000000005</v>
      </c>
      <c r="Q56" s="71">
        <f t="shared" si="83"/>
        <v>320.39699999999999</v>
      </c>
      <c r="R56" s="71">
        <f t="shared" si="83"/>
        <v>455.84399999999999</v>
      </c>
      <c r="S56" s="71">
        <f t="shared" si="83"/>
        <v>419.27100000000002</v>
      </c>
      <c r="T56" s="71">
        <f t="shared" si="83"/>
        <v>313.41399999999999</v>
      </c>
      <c r="U56" s="71">
        <f t="shared" si="83"/>
        <v>619.20799999999997</v>
      </c>
      <c r="V56" s="71">
        <f t="shared" si="83"/>
        <v>567.45399999999995</v>
      </c>
      <c r="W56" s="71">
        <f t="shared" si="83"/>
        <v>327.69099999999997</v>
      </c>
      <c r="X56" s="71">
        <f t="shared" si="83"/>
        <v>425.03399999999999</v>
      </c>
      <c r="Y56" s="71">
        <f t="shared" si="83"/>
        <v>385.75099999999998</v>
      </c>
      <c r="Z56" s="71">
        <f t="shared" si="83"/>
        <v>313.41399999999999</v>
      </c>
      <c r="AA56" s="71">
        <f>AA57</f>
        <v>571.21500000000003</v>
      </c>
      <c r="AB56" s="71">
        <f t="shared" si="83"/>
        <v>363.41399999999999</v>
      </c>
      <c r="AC56" s="71">
        <f t="shared" si="83"/>
        <v>540.21900000000005</v>
      </c>
      <c r="AD56" s="71">
        <f t="shared" si="83"/>
        <v>363.41399999999999</v>
      </c>
      <c r="AE56" s="71">
        <f t="shared" si="83"/>
        <v>0</v>
      </c>
      <c r="AF56" s="71">
        <f t="shared" si="83"/>
        <v>393.13099999999997</v>
      </c>
      <c r="AG56" s="71">
        <f t="shared" si="83"/>
        <v>0</v>
      </c>
      <c r="AH56" s="64" t="s">
        <v>442</v>
      </c>
    </row>
    <row r="57" spans="1:35" s="10" customFormat="1" ht="27" customHeight="1" x14ac:dyDescent="0.25">
      <c r="A57" s="570"/>
      <c r="B57" s="614"/>
      <c r="C57" s="124" t="s">
        <v>21</v>
      </c>
      <c r="D57" s="74">
        <f>SUM(J57,L57,N57,P57,R57,T57,V57,X57,Z57,AB57,AD57,AF57)</f>
        <v>5436.5</v>
      </c>
      <c r="E57" s="74">
        <f>J57+L57+N57+P57+R57+T57+V57+X57+Z57+AB57</f>
        <v>4679.9549999999999</v>
      </c>
      <c r="F57" s="74">
        <f>K57+M57+O57+Q57+S57+U57+W57+Y57+AA57+AC57</f>
        <v>4199.473</v>
      </c>
      <c r="G57" s="74">
        <f>SUM(K57,M57,O57,Q57,S57,U57,W57,Y57,AA57,AC57,AE57,AG57)</f>
        <v>4199.473</v>
      </c>
      <c r="H57" s="74">
        <f t="shared" si="78"/>
        <v>77.245893497654734</v>
      </c>
      <c r="I57" s="74">
        <f t="shared" si="79"/>
        <v>89.733191878981742</v>
      </c>
      <c r="J57" s="67">
        <v>791.31200000000001</v>
      </c>
      <c r="K57" s="67">
        <v>293.041</v>
      </c>
      <c r="L57" s="67">
        <v>467.18099999999998</v>
      </c>
      <c r="M57" s="67">
        <v>416.40300000000002</v>
      </c>
      <c r="N57" s="67">
        <v>313.41399999999999</v>
      </c>
      <c r="O57" s="67">
        <v>306.27699999999999</v>
      </c>
      <c r="P57" s="67">
        <v>669.47400000000005</v>
      </c>
      <c r="Q57" s="67">
        <v>320.39699999999999</v>
      </c>
      <c r="R57" s="67">
        <v>455.84399999999999</v>
      </c>
      <c r="S57" s="67">
        <v>419.27100000000002</v>
      </c>
      <c r="T57" s="67">
        <v>313.41399999999999</v>
      </c>
      <c r="U57" s="67">
        <v>619.20799999999997</v>
      </c>
      <c r="V57" s="67">
        <v>567.45399999999995</v>
      </c>
      <c r="W57" s="67">
        <v>327.69099999999997</v>
      </c>
      <c r="X57" s="67">
        <v>425.03399999999999</v>
      </c>
      <c r="Y57" s="67">
        <v>385.75099999999998</v>
      </c>
      <c r="Z57" s="67">
        <v>313.41399999999999</v>
      </c>
      <c r="AA57" s="63">
        <v>571.21500000000003</v>
      </c>
      <c r="AB57" s="67">
        <v>363.41399999999999</v>
      </c>
      <c r="AC57" s="67">
        <v>540.21900000000005</v>
      </c>
      <c r="AD57" s="67">
        <v>363.41399999999999</v>
      </c>
      <c r="AE57" s="67">
        <v>0</v>
      </c>
      <c r="AF57" s="67">
        <v>393.13099999999997</v>
      </c>
      <c r="AG57" s="67">
        <v>0</v>
      </c>
      <c r="AH57" s="43"/>
    </row>
    <row r="58" spans="1:35" s="10" customFormat="1" ht="97.15" customHeight="1" x14ac:dyDescent="0.25">
      <c r="A58" s="569"/>
      <c r="B58" s="619" t="s">
        <v>324</v>
      </c>
      <c r="C58" s="123" t="s">
        <v>20</v>
      </c>
      <c r="D58" s="70">
        <f>D59</f>
        <v>3665.8989999999994</v>
      </c>
      <c r="E58" s="70">
        <f>E59</f>
        <v>3166.7189999999996</v>
      </c>
      <c r="F58" s="70">
        <f>F59</f>
        <v>2878.1109999999999</v>
      </c>
      <c r="G58" s="70">
        <f t="shared" ref="F58:G60" si="84">G59</f>
        <v>2878.1109999999999</v>
      </c>
      <c r="H58" s="70">
        <f t="shared" si="78"/>
        <v>78.510373580941547</v>
      </c>
      <c r="I58" s="70">
        <f t="shared" si="79"/>
        <v>90.886213775203927</v>
      </c>
      <c r="J58" s="71">
        <f t="shared" ref="J58:AG60" si="85">SUM(J59:J59)</f>
        <v>533.548</v>
      </c>
      <c r="K58" s="71">
        <v>232.51</v>
      </c>
      <c r="L58" s="71">
        <f t="shared" si="85"/>
        <v>315.01400000000001</v>
      </c>
      <c r="M58" s="71">
        <f t="shared" si="85"/>
        <v>249.572</v>
      </c>
      <c r="N58" s="71">
        <f t="shared" si="85"/>
        <v>215.05500000000001</v>
      </c>
      <c r="O58" s="71">
        <f t="shared" si="85"/>
        <v>214.136</v>
      </c>
      <c r="P58" s="71">
        <f t="shared" si="85"/>
        <v>451.37700000000001</v>
      </c>
      <c r="Q58" s="71">
        <f t="shared" si="85"/>
        <v>260.827</v>
      </c>
      <c r="R58" s="71">
        <f t="shared" si="85"/>
        <v>307.363</v>
      </c>
      <c r="S58" s="71">
        <f t="shared" si="85"/>
        <v>207.21700000000001</v>
      </c>
      <c r="T58" s="71">
        <f t="shared" si="85"/>
        <v>215.05500000000001</v>
      </c>
      <c r="U58" s="71">
        <f t="shared" si="85"/>
        <v>413.5</v>
      </c>
      <c r="V58" s="71">
        <f t="shared" si="85"/>
        <v>382.60300000000001</v>
      </c>
      <c r="W58" s="71">
        <f t="shared" si="85"/>
        <v>252.35400000000001</v>
      </c>
      <c r="X58" s="71">
        <f t="shared" si="85"/>
        <v>286.59399999999999</v>
      </c>
      <c r="Y58" s="71">
        <f t="shared" si="85"/>
        <v>335.77199999999999</v>
      </c>
      <c r="Z58" s="71">
        <f t="shared" si="85"/>
        <v>215.05500000000001</v>
      </c>
      <c r="AA58" s="71">
        <f t="shared" si="85"/>
        <v>455.06299999999999</v>
      </c>
      <c r="AB58" s="71">
        <f t="shared" si="85"/>
        <v>245.05500000000001</v>
      </c>
      <c r="AC58" s="71">
        <f t="shared" si="85"/>
        <v>257.16000000000003</v>
      </c>
      <c r="AD58" s="71">
        <f t="shared" si="85"/>
        <v>245.05500000000001</v>
      </c>
      <c r="AE58" s="71">
        <f t="shared" si="85"/>
        <v>0</v>
      </c>
      <c r="AF58" s="71">
        <f t="shared" si="85"/>
        <v>254.125</v>
      </c>
      <c r="AG58" s="71">
        <f t="shared" si="85"/>
        <v>0</v>
      </c>
      <c r="AH58" s="64" t="s">
        <v>441</v>
      </c>
    </row>
    <row r="59" spans="1:35" s="10" customFormat="1" ht="78" customHeight="1" x14ac:dyDescent="0.25">
      <c r="A59" s="570"/>
      <c r="B59" s="619"/>
      <c r="C59" s="124" t="s">
        <v>21</v>
      </c>
      <c r="D59" s="74">
        <f>SUM(J59,L59,N59,P59,R59,T59,V59,X59,Z59,AB59,AD59,AF59)</f>
        <v>3665.8989999999994</v>
      </c>
      <c r="E59" s="74">
        <f>J59+L59+N59+P59+R59+T59+V59+X59+Z59+AB59</f>
        <v>3166.7189999999996</v>
      </c>
      <c r="F59" s="74">
        <f>K59+M59+O59+Q59+S59+U59+W59+Y59+AA59+AC59</f>
        <v>2878.1109999999999</v>
      </c>
      <c r="G59" s="74">
        <f>SUM(K59,M59,O59,Q59,S59,U59,W59,Y59,AA59,AC59,AE59,AG59)</f>
        <v>2878.1109999999999</v>
      </c>
      <c r="H59" s="74">
        <f t="shared" si="78"/>
        <v>78.510373580941547</v>
      </c>
      <c r="I59" s="74">
        <f t="shared" si="79"/>
        <v>90.886213775203927</v>
      </c>
      <c r="J59" s="67">
        <v>533.548</v>
      </c>
      <c r="K59" s="67">
        <v>232.51</v>
      </c>
      <c r="L59" s="67">
        <v>315.01400000000001</v>
      </c>
      <c r="M59" s="67">
        <v>249.572</v>
      </c>
      <c r="N59" s="67">
        <v>215.05500000000001</v>
      </c>
      <c r="O59" s="67">
        <v>214.136</v>
      </c>
      <c r="P59" s="67">
        <v>451.37700000000001</v>
      </c>
      <c r="Q59" s="67">
        <v>260.827</v>
      </c>
      <c r="R59" s="67">
        <v>307.363</v>
      </c>
      <c r="S59" s="67">
        <v>207.21700000000001</v>
      </c>
      <c r="T59" s="67">
        <v>215.05500000000001</v>
      </c>
      <c r="U59" s="67">
        <v>413.5</v>
      </c>
      <c r="V59" s="67">
        <v>382.60300000000001</v>
      </c>
      <c r="W59" s="67">
        <v>252.35400000000001</v>
      </c>
      <c r="X59" s="67">
        <v>286.59399999999999</v>
      </c>
      <c r="Y59" s="67">
        <v>335.77199999999999</v>
      </c>
      <c r="Z59" s="67">
        <v>215.05500000000001</v>
      </c>
      <c r="AA59" s="67">
        <v>455.06299999999999</v>
      </c>
      <c r="AB59" s="67">
        <v>245.05500000000001</v>
      </c>
      <c r="AC59" s="67">
        <v>257.16000000000003</v>
      </c>
      <c r="AD59" s="67">
        <v>245.05500000000001</v>
      </c>
      <c r="AE59" s="67">
        <v>0</v>
      </c>
      <c r="AF59" s="67">
        <v>254.125</v>
      </c>
      <c r="AG59" s="67">
        <v>0</v>
      </c>
      <c r="AH59" s="43"/>
    </row>
    <row r="60" spans="1:35" s="10" customFormat="1" ht="68.45" customHeight="1" x14ac:dyDescent="0.25">
      <c r="A60" s="569"/>
      <c r="B60" s="619" t="s">
        <v>325</v>
      </c>
      <c r="C60" s="123" t="s">
        <v>20</v>
      </c>
      <c r="D60" s="70">
        <f>D61</f>
        <v>18262.599999999999</v>
      </c>
      <c r="E60" s="70">
        <f>E61</f>
        <v>15738.067999999999</v>
      </c>
      <c r="F60" s="70">
        <f t="shared" si="84"/>
        <v>14559.572000000002</v>
      </c>
      <c r="G60" s="70">
        <f>G61</f>
        <v>14559.572000000002</v>
      </c>
      <c r="H60" s="70">
        <f t="shared" si="78"/>
        <v>79.723434779275692</v>
      </c>
      <c r="I60" s="70">
        <f t="shared" si="79"/>
        <v>92.511812758719827</v>
      </c>
      <c r="J60" s="71">
        <f t="shared" si="85"/>
        <v>2697.002</v>
      </c>
      <c r="K60" s="71">
        <f t="shared" si="85"/>
        <v>1127.499</v>
      </c>
      <c r="L60" s="71">
        <f t="shared" si="85"/>
        <v>1559.549</v>
      </c>
      <c r="M60" s="71">
        <f t="shared" si="85"/>
        <v>1609.797</v>
      </c>
      <c r="N60" s="71">
        <f t="shared" si="85"/>
        <v>1050.4380000000001</v>
      </c>
      <c r="O60" s="71">
        <v>1279.2170000000001</v>
      </c>
      <c r="P60" s="71">
        <f t="shared" si="85"/>
        <v>2224.4630000000002</v>
      </c>
      <c r="Q60" s="71">
        <f t="shared" si="85"/>
        <v>1023.159</v>
      </c>
      <c r="R60" s="71">
        <f t="shared" si="85"/>
        <v>1520.164</v>
      </c>
      <c r="S60" s="71">
        <f t="shared" si="85"/>
        <v>1252.19</v>
      </c>
      <c r="T60" s="71">
        <f>T61</f>
        <v>928.16700000000003</v>
      </c>
      <c r="U60" s="71">
        <f>U61</f>
        <v>2327.5360000000001</v>
      </c>
      <c r="V60" s="71">
        <f t="shared" si="85"/>
        <v>1921.021</v>
      </c>
      <c r="W60" s="71">
        <f t="shared" si="85"/>
        <v>1660.385</v>
      </c>
      <c r="X60" s="71">
        <f t="shared" si="85"/>
        <v>1418.588</v>
      </c>
      <c r="Y60" s="71">
        <f t="shared" si="85"/>
        <v>1042.46</v>
      </c>
      <c r="Z60" s="71">
        <f t="shared" si="85"/>
        <v>1050.4380000000001</v>
      </c>
      <c r="AA60" s="71">
        <f t="shared" si="85"/>
        <v>1786.403</v>
      </c>
      <c r="AB60" s="71">
        <f t="shared" si="85"/>
        <v>1368.2380000000001</v>
      </c>
      <c r="AC60" s="71">
        <f t="shared" si="85"/>
        <v>1450.9259999999999</v>
      </c>
      <c r="AD60" s="71">
        <f t="shared" si="85"/>
        <v>1260.038</v>
      </c>
      <c r="AE60" s="71">
        <f t="shared" si="85"/>
        <v>0</v>
      </c>
      <c r="AF60" s="71">
        <f t="shared" si="85"/>
        <v>1264.4939999999999</v>
      </c>
      <c r="AG60" s="71">
        <f t="shared" si="85"/>
        <v>0</v>
      </c>
      <c r="AH60" s="64" t="s">
        <v>443</v>
      </c>
    </row>
    <row r="61" spans="1:35" s="10" customFormat="1" ht="48.6" customHeight="1" x14ac:dyDescent="0.25">
      <c r="A61" s="570"/>
      <c r="B61" s="619"/>
      <c r="C61" s="124" t="s">
        <v>21</v>
      </c>
      <c r="D61" s="74">
        <f>SUM(J61,L61,N61,P61,R61,T61,V61,X61,Z61,AB61,AD61,AF61)</f>
        <v>18262.599999999999</v>
      </c>
      <c r="E61" s="74">
        <f>J61+L61+N61+P61+R61+T61+V61+X61+Z61+AB61</f>
        <v>15738.067999999999</v>
      </c>
      <c r="F61" s="74">
        <f>K61+M61+O61+Q61+S61+U61+W61+Y61+AA61+AC61</f>
        <v>14559.572000000002</v>
      </c>
      <c r="G61" s="74">
        <f>SUM(K61,M61,O61,Q61,S61,U61,W61,Y61,AA61,AC61,AE61,AG61)</f>
        <v>14559.572000000002</v>
      </c>
      <c r="H61" s="74">
        <f t="shared" si="78"/>
        <v>79.723434779275692</v>
      </c>
      <c r="I61" s="74">
        <f t="shared" si="79"/>
        <v>92.511812758719827</v>
      </c>
      <c r="J61" s="67">
        <v>2697.002</v>
      </c>
      <c r="K61" s="67">
        <v>1127.499</v>
      </c>
      <c r="L61" s="67">
        <v>1559.549</v>
      </c>
      <c r="M61" s="67">
        <v>1609.797</v>
      </c>
      <c r="N61" s="67">
        <v>1050.4380000000001</v>
      </c>
      <c r="O61" s="67">
        <v>1279.2170000000001</v>
      </c>
      <c r="P61" s="67">
        <v>2224.4630000000002</v>
      </c>
      <c r="Q61" s="67">
        <v>1023.159</v>
      </c>
      <c r="R61" s="67">
        <v>1520.164</v>
      </c>
      <c r="S61" s="67">
        <v>1252.19</v>
      </c>
      <c r="T61" s="67">
        <v>928.16700000000003</v>
      </c>
      <c r="U61" s="67">
        <v>2327.5360000000001</v>
      </c>
      <c r="V61" s="67">
        <v>1921.021</v>
      </c>
      <c r="W61" s="67">
        <v>1660.385</v>
      </c>
      <c r="X61" s="67">
        <v>1418.588</v>
      </c>
      <c r="Y61" s="67">
        <v>1042.46</v>
      </c>
      <c r="Z61" s="67">
        <v>1050.4380000000001</v>
      </c>
      <c r="AA61" s="67">
        <v>1786.403</v>
      </c>
      <c r="AB61" s="67">
        <v>1368.2380000000001</v>
      </c>
      <c r="AC61" s="67">
        <v>1450.9259999999999</v>
      </c>
      <c r="AD61" s="67">
        <v>1260.038</v>
      </c>
      <c r="AE61" s="67">
        <v>0</v>
      </c>
      <c r="AF61" s="67">
        <v>1264.4939999999999</v>
      </c>
      <c r="AG61" s="67">
        <v>0</v>
      </c>
      <c r="AH61" s="75"/>
    </row>
    <row r="62" spans="1:35" x14ac:dyDescent="0.25">
      <c r="L62" s="130"/>
    </row>
  </sheetData>
  <customSheetViews>
    <customSheetView guid="{133BB3F8-8DD4-4AEF-8CD6-A5FB14681329}" scale="75" state="hidden">
      <pane xSplit="6" ySplit="7" topLeftCell="G8" activePane="bottomRight" state="frozen"/>
      <selection pane="bottomRight" activeCell="F6" sqref="F6"/>
      <pageMargins left="0.7" right="0.7" top="0.75" bottom="0.75" header="0.3" footer="0.3"/>
      <pageSetup paperSize="9" orientation="portrait" r:id="rId1"/>
    </customSheetView>
    <customSheetView guid="{7C5A2A36-3D69-43D9-9018-A52C27EC78F9}" scale="89">
      <pane xSplit="6" ySplit="7" topLeftCell="G47" activePane="bottomRight" state="frozen"/>
      <selection pane="bottomRight" activeCell="A8" sqref="A8:XFD10"/>
      <pageMargins left="0.7" right="0.7" top="0.75" bottom="0.75" header="0.3" footer="0.3"/>
      <pageSetup paperSize="9" orientation="portrait" r:id="rId2"/>
    </customSheetView>
    <customSheetView guid="{2A5A11D4-90C6-4A3E-8165-7D7BD634B22F}" scale="50">
      <pane xSplit="6" ySplit="7" topLeftCell="S11" activePane="bottomRight" state="frozen"/>
      <selection pane="bottomRight" activeCell="AH16" sqref="AH16"/>
      <pageMargins left="0.7" right="0.7" top="0.75" bottom="0.75" header="0.3" footer="0.3"/>
      <pageSetup paperSize="9" orientation="portrait" r:id="rId3"/>
    </customSheetView>
    <customSheetView guid="{996EC2F0-F6EC-4E63-A83E-34865157BD8D}" scale="75">
      <pane xSplit="6" ySplit="7" topLeftCell="G32" activePane="bottomRight" state="frozen"/>
      <selection pane="bottomRight" activeCell="F25" sqref="F25"/>
      <pageMargins left="0.7" right="0.7" top="0.75" bottom="0.75" header="0.3" footer="0.3"/>
      <pageSetup paperSize="9" orientation="portrait" r:id="rId4"/>
    </customSheetView>
    <customSheetView guid="{AB9978E4-895D-4050-8F07-2484E22632D1}" scale="82">
      <pane xSplit="6" ySplit="5" topLeftCell="G6" activePane="bottomRight" state="frozen"/>
      <selection pane="bottomRight" activeCell="H16" sqref="H16"/>
      <pageMargins left="0.7" right="0.7" top="0.75" bottom="0.75" header="0.3" footer="0.3"/>
      <pageSetup paperSize="9" orientation="portrait" r:id="rId5"/>
    </customSheetView>
    <customSheetView guid="{21E1D423-7B38-4272-8354-09B4DB62C9EB}" scale="80">
      <pane xSplit="6" ySplit="7" topLeftCell="G23" activePane="bottomRight" state="frozen"/>
      <selection pane="bottomRight" activeCell="A8" sqref="A8:XFD10"/>
      <pageMargins left="0.7" right="0.7" top="0.75" bottom="0.75" header="0.3" footer="0.3"/>
      <pageSetup paperSize="9" orientation="portrait" r:id="rId6"/>
    </customSheetView>
    <customSheetView guid="{2940A182-D1A7-43C5-8D6E-965BED4371B0}" scale="50">
      <pane xSplit="6" ySplit="7" topLeftCell="G23" activePane="bottomRight" state="frozen"/>
      <selection pane="bottomRight" activeCell="A8" sqref="A8:XFD10"/>
      <pageMargins left="0.7" right="0.7" top="0.75" bottom="0.75" header="0.3" footer="0.3"/>
      <pageSetup paperSize="9" orientation="portrait" r:id="rId7"/>
    </customSheetView>
    <customSheetView guid="{A0E2FBF6-E560-4343-8BE6-217DC798135B}" scale="75">
      <pane xSplit="6" ySplit="7" topLeftCell="G32" activePane="bottomRight" state="frozen"/>
      <selection pane="bottomRight" activeCell="F25" sqref="F25"/>
      <pageMargins left="0.7" right="0.7" top="0.75" bottom="0.75" header="0.3" footer="0.3"/>
      <pageSetup paperSize="9" orientation="portrait" r:id="rId8"/>
    </customSheetView>
    <customSheetView guid="{BBF6B43F-E0FC-43DF-B91C-674F6AB4B556}" scale="75">
      <pane xSplit="6" ySplit="7" topLeftCell="G32" activePane="bottomRight" state="frozen"/>
      <selection pane="bottomRight" activeCell="F25" sqref="F25"/>
      <pageMargins left="0.7" right="0.7" top="0.75" bottom="0.75" header="0.3" footer="0.3"/>
      <pageSetup paperSize="9" orientation="portrait" r:id="rId9"/>
    </customSheetView>
    <customSheetView guid="{C68436F4-AFB3-4D1D-A7C4-56D0C677D68E}" scale="75">
      <pane xSplit="6" ySplit="7" topLeftCell="G32" activePane="bottomRight" state="frozen"/>
      <selection pane="bottomRight" activeCell="F25" sqref="F25"/>
      <pageMargins left="0.7" right="0.7" top="0.75" bottom="0.75" header="0.3" footer="0.3"/>
      <pageSetup paperSize="9" orientation="portrait" r:id="rId10"/>
    </customSheetView>
    <customSheetView guid="{DAEDC989-02E7-4319-8354-59410ACF3F1F}" scale="50">
      <pane xSplit="6" ySplit="7" topLeftCell="G8" activePane="bottomRight" state="frozen"/>
      <selection pane="bottomRight" activeCell="Y84" sqref="Y84"/>
      <pageMargins left="0.7" right="0.7" top="0.75" bottom="0.75" header="0.3" footer="0.3"/>
      <pageSetup paperSize="9" orientation="portrait" r:id="rId11"/>
    </customSheetView>
    <customSheetView guid="{519948E4-0B24-465F-9D9E-44BE50D1D647}" scale="80">
      <pane xSplit="6" ySplit="7" topLeftCell="G23" activePane="bottomRight" state="frozen"/>
      <selection pane="bottomRight" activeCell="A8" sqref="A8:XFD10"/>
      <pageMargins left="0.7" right="0.7" top="0.75" bottom="0.75" header="0.3" footer="0.3"/>
      <pageSetup paperSize="9" orientation="portrait" r:id="rId12"/>
    </customSheetView>
    <customSheetView guid="{C7DC638A-7F60-46C9-A1FB-9ADEAE87F332}" scale="80">
      <pane xSplit="6" ySplit="7" topLeftCell="G23" activePane="bottomRight" state="frozen"/>
      <selection pane="bottomRight" activeCell="A8" sqref="A8:XFD10"/>
      <pageMargins left="0.7" right="0.7" top="0.75" bottom="0.75" header="0.3" footer="0.3"/>
      <pageSetup paperSize="9" orientation="portrait" r:id="rId13"/>
    </customSheetView>
    <customSheetView guid="{C01DC081-B312-4391-B775-A8CE76216D71}" scale="50">
      <pane xSplit="6" ySplit="5" topLeftCell="G6" activePane="bottomRight" state="frozen"/>
      <selection pane="bottomRight" activeCell="G13" sqref="G13"/>
      <pageMargins left="0.7" right="0.7" top="0.75" bottom="0.75" header="0.3" footer="0.3"/>
      <pageSetup paperSize="9" orientation="portrait" r:id="rId14"/>
    </customSheetView>
    <customSheetView guid="{562453CE-35F5-40A3-AD14-6399D1197C99}" scale="50">
      <pane xSplit="6" ySplit="7" topLeftCell="G8" activePane="bottomRight" state="frozen"/>
      <selection pane="bottomRight" activeCell="Y84" sqref="Y84"/>
      <pageMargins left="0.7" right="0.7" top="0.75" bottom="0.75" header="0.3" footer="0.3"/>
      <pageSetup paperSize="9" orientation="portrait" r:id="rId15"/>
    </customSheetView>
    <customSheetView guid="{A7640BE7-6438-4196-9A67-AF5B992A1E70}" scale="50">
      <pane xSplit="6" ySplit="5" topLeftCell="G6" activePane="bottomRight" state="frozen"/>
      <selection pane="bottomRight" activeCell="G13" sqref="G13"/>
      <pageMargins left="0.7" right="0.7" top="0.75" bottom="0.75" header="0.3" footer="0.3"/>
      <pageSetup paperSize="9" orientation="portrait" r:id="rId16"/>
    </customSheetView>
    <customSheetView guid="{30B635D9-57DB-47D5-8A0F-4B30DD769960}" scale="75">
      <pane xSplit="6" ySplit="7" topLeftCell="G32" activePane="bottomRight" state="frozen"/>
      <selection pane="bottomRight" activeCell="F25" sqref="F25"/>
      <pageMargins left="0.7" right="0.7" top="0.75" bottom="0.75" header="0.3" footer="0.3"/>
      <pageSetup paperSize="9" orientation="portrait" r:id="rId17"/>
    </customSheetView>
    <customSheetView guid="{20A05A62-CBE8-4538-BBC3-2AD9D3B8FAC0}" scale="77">
      <pane xSplit="6" ySplit="7" topLeftCell="Z53" activePane="bottomRight" state="frozen"/>
      <selection pane="bottomRight" activeCell="AH55" sqref="AH55"/>
      <pageMargins left="0.7" right="0.7" top="0.75" bottom="0.75" header="0.3" footer="0.3"/>
      <pageSetup paperSize="9" orientation="portrait" r:id="rId18"/>
    </customSheetView>
    <customSheetView guid="{C282AA4E-1BB5-4296-9AC6-844C0F88E5FC}" scale="80">
      <pane xSplit="6" ySplit="7" topLeftCell="G23" activePane="bottomRight" state="frozen"/>
      <selection pane="bottomRight" activeCell="A8" sqref="A8:XFD10"/>
      <pageMargins left="0.7" right="0.7" top="0.75" bottom="0.75" header="0.3" footer="0.3"/>
      <pageSetup paperSize="9" orientation="portrait" r:id="rId19"/>
    </customSheetView>
    <customSheetView guid="{4E221C17-6DAB-4FFA-B18C-35D4D85AF6E8}" scale="75">
      <pane xSplit="6" ySplit="7" topLeftCell="G32" activePane="bottomRight" state="frozen"/>
      <selection pane="bottomRight" activeCell="F25" sqref="F25"/>
      <pageMargins left="0.7" right="0.7" top="0.75" bottom="0.75" header="0.3" footer="0.3"/>
      <pageSetup paperSize="9" orientation="portrait" r:id="rId20"/>
    </customSheetView>
    <customSheetView guid="{AFADB96A-0516-43C1-9F1B-0604F3CAC04A}" scale="50">
      <pane xSplit="6" ySplit="7" topLeftCell="S11" activePane="bottomRight" state="frozen"/>
      <selection pane="bottomRight" activeCell="AH16" sqref="AH16"/>
      <pageMargins left="0.7" right="0.7" top="0.75" bottom="0.75" header="0.3" footer="0.3"/>
      <pageSetup paperSize="9" orientation="portrait" r:id="rId21"/>
    </customSheetView>
    <customSheetView guid="{F528EF6A-C113-49B5-B25F-D660F898CBFB}" scale="80">
      <pane xSplit="6" ySplit="7" topLeftCell="G23" activePane="bottomRight" state="frozen"/>
      <selection pane="bottomRight" activeCell="A8" sqref="A8:XFD10"/>
      <pageMargins left="0.7" right="0.7" top="0.75" bottom="0.75" header="0.3" footer="0.3"/>
      <pageSetup paperSize="9" orientation="portrait" r:id="rId22"/>
    </customSheetView>
    <customSheetView guid="{B6B60ED6-A6CC-4DA7-A8CA-5E6DB52D5A87}" scale="75">
      <pane xSplit="6" ySplit="7" topLeftCell="G32" activePane="bottomRight" state="frozen"/>
      <selection pane="bottomRight" activeCell="F25" sqref="F25"/>
      <pageMargins left="0.7" right="0.7" top="0.75" bottom="0.75" header="0.3" footer="0.3"/>
      <pageSetup paperSize="9" orientation="portrait" r:id="rId23"/>
    </customSheetView>
    <customSheetView guid="{A4AF2100-C59D-4F60-9EAB-56D9103463F7}" scale="50">
      <pane xSplit="6" ySplit="7" topLeftCell="G32" activePane="bottomRight" state="frozen"/>
      <selection pane="bottomRight" activeCell="F25" sqref="F25"/>
      <pageMargins left="0.7" right="0.7" top="0.75" bottom="0.75" header="0.3" footer="0.3"/>
      <pageSetup paperSize="9" orientation="portrait" r:id="rId24"/>
    </customSheetView>
    <customSheetView guid="{EA46B61D-849C-4795-A4FF-F8F1740022EB}" scale="75">
      <pane xSplit="6" ySplit="7" topLeftCell="G32" activePane="bottomRight" state="frozen"/>
      <selection pane="bottomRight" activeCell="F25" sqref="F25"/>
      <pageMargins left="0.7" right="0.7" top="0.75" bottom="0.75" header="0.3" footer="0.3"/>
      <pageSetup paperSize="9" orientation="portrait" r:id="rId25"/>
    </customSheetView>
    <customSheetView guid="{B686A221-D885-4536-BEAC-E7F4BBC02150}" scale="75">
      <pane xSplit="6" ySplit="7" topLeftCell="G32" activePane="bottomRight" state="frozen"/>
      <selection pane="bottomRight" activeCell="F25" sqref="F25"/>
      <pageMargins left="0.7" right="0.7" top="0.75" bottom="0.75" header="0.3" footer="0.3"/>
      <pageSetup paperSize="9" orientation="portrait" r:id="rId26"/>
    </customSheetView>
    <customSheetView guid="{60A1F930-4BEC-460A-8E14-01E47F6DD055}" scale="75">
      <pane xSplit="6" ySplit="4" topLeftCell="G47" activePane="bottomRight" state="frozen"/>
      <selection pane="bottomRight" activeCell="AH54" sqref="AH54"/>
      <pageMargins left="0.7" right="0.7" top="0.75" bottom="0.75" header="0.3" footer="0.3"/>
      <pageSetup paperSize="9" orientation="portrait" r:id="rId27"/>
    </customSheetView>
    <customSheetView guid="{5DF2C78B-5EE4-439D-8D72-8D3A913B65F9}" scale="75">
      <pane xSplit="6" ySplit="7" topLeftCell="G23" activePane="bottomRight" state="frozen"/>
      <selection pane="bottomRight" activeCell="A8" sqref="A8:XFD10"/>
      <pageMargins left="0.7" right="0.7" top="0.75" bottom="0.75" header="0.3" footer="0.3"/>
      <pageSetup paperSize="9" orientation="portrait" r:id="rId28"/>
    </customSheetView>
  </customSheetViews>
  <mergeCells count="57">
    <mergeCell ref="R4:S5"/>
    <mergeCell ref="T4:U5"/>
    <mergeCell ref="C2:S2"/>
    <mergeCell ref="C3:S3"/>
    <mergeCell ref="A4:A6"/>
    <mergeCell ref="B4:B6"/>
    <mergeCell ref="C4:C6"/>
    <mergeCell ref="D4:D5"/>
    <mergeCell ref="E4:E5"/>
    <mergeCell ref="F4:F5"/>
    <mergeCell ref="G4:G5"/>
    <mergeCell ref="H4:I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B28:AG28"/>
    <mergeCell ref="A14:A15"/>
    <mergeCell ref="B14:B15"/>
    <mergeCell ref="A16:A17"/>
    <mergeCell ref="B16:B17"/>
    <mergeCell ref="A18:A19"/>
    <mergeCell ref="B18:B19"/>
    <mergeCell ref="B20:AG20"/>
    <mergeCell ref="A21:A22"/>
    <mergeCell ref="B21:B22"/>
    <mergeCell ref="B23:AG23"/>
    <mergeCell ref="A24:A25"/>
    <mergeCell ref="B24:B25"/>
    <mergeCell ref="A44:A46"/>
    <mergeCell ref="B44:B46"/>
    <mergeCell ref="A47:A48"/>
    <mergeCell ref="B47:B48"/>
    <mergeCell ref="A49:A50"/>
    <mergeCell ref="B49:B50"/>
    <mergeCell ref="A58:A59"/>
    <mergeCell ref="B58:B59"/>
    <mergeCell ref="A60:A61"/>
    <mergeCell ref="B60:B61"/>
    <mergeCell ref="B51:B52"/>
    <mergeCell ref="B53:AG53"/>
    <mergeCell ref="A54:A55"/>
    <mergeCell ref="B54:B55"/>
    <mergeCell ref="A56:A57"/>
    <mergeCell ref="B56:B57"/>
  </mergeCells>
  <pageMargins left="0.7" right="0.7" top="0.75" bottom="0.75" header="0.3" footer="0.3"/>
  <pageSetup paperSize="9" orientation="portrait" r:id="rId29"/>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80"/>
  <sheetViews>
    <sheetView view="pageBreakPreview" topLeftCell="I23" zoomScale="50" zoomScaleNormal="50" zoomScaleSheetLayoutView="50" zoomScalePageLayoutView="20" workbookViewId="0">
      <selection activeCell="F6" sqref="F6"/>
    </sheetView>
  </sheetViews>
  <sheetFormatPr defaultColWidth="9.140625" defaultRowHeight="15" x14ac:dyDescent="0.25"/>
  <cols>
    <col min="1" max="1" width="6.5703125" style="8" customWidth="1"/>
    <col min="2" max="2" width="46.28515625" style="8" customWidth="1"/>
    <col min="3" max="3" width="20" style="9" customWidth="1"/>
    <col min="4" max="4" width="18.28515625" style="8" customWidth="1"/>
    <col min="5" max="5" width="14.7109375" style="8" customWidth="1"/>
    <col min="6" max="6" width="17.140625" style="8" customWidth="1"/>
    <col min="7" max="7" width="17.85546875" style="8" customWidth="1"/>
    <col min="8" max="8" width="12.140625" style="8" customWidth="1"/>
    <col min="9" max="9" width="12.570312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7.710937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1" width="11.5703125" style="8" customWidth="1"/>
    <col min="32" max="32" width="12.140625" style="8" customWidth="1"/>
    <col min="33" max="33" width="11.5703125" style="8" customWidth="1"/>
    <col min="34" max="34" width="198.8554687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customHeight="1"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36.75" customHeight="1" x14ac:dyDescent="0.25">
      <c r="A3" s="55"/>
      <c r="B3" s="92"/>
      <c r="C3" s="513" t="s">
        <v>376</v>
      </c>
      <c r="D3" s="513"/>
      <c r="E3" s="513"/>
      <c r="F3" s="513"/>
      <c r="G3" s="513"/>
      <c r="H3" s="513"/>
      <c r="I3" s="513"/>
      <c r="J3" s="513"/>
      <c r="K3" s="513"/>
      <c r="L3" s="513"/>
      <c r="M3" s="513"/>
      <c r="N3" s="513"/>
      <c r="O3" s="513"/>
      <c r="P3" s="513"/>
      <c r="Q3" s="513"/>
      <c r="R3" s="513"/>
      <c r="S3" s="513"/>
      <c r="T3" s="94"/>
      <c r="U3" s="94"/>
      <c r="V3" s="94"/>
      <c r="W3" s="94"/>
      <c r="X3" s="94"/>
      <c r="Y3" s="94"/>
      <c r="Z3" s="94"/>
      <c r="AA3" s="94"/>
      <c r="AB3" s="94"/>
      <c r="AC3" s="94"/>
      <c r="AD3" s="95"/>
      <c r="AE3" s="95"/>
      <c r="AF3" s="95"/>
      <c r="AG3" s="37" t="s">
        <v>0</v>
      </c>
      <c r="AH3" s="37"/>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84"/>
      <c r="E5" s="584"/>
      <c r="F5" s="584"/>
      <c r="G5" s="584"/>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t="s">
        <v>381</v>
      </c>
      <c r="E6" s="39">
        <v>45931</v>
      </c>
      <c r="F6" s="39">
        <v>45931</v>
      </c>
      <c r="G6" s="39">
        <v>45931</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581"/>
      <c r="B8" s="533" t="s">
        <v>23</v>
      </c>
      <c r="C8" s="69" t="s">
        <v>20</v>
      </c>
      <c r="D8" s="70">
        <f>SUM(J8,L8,N8,P8,R8,T8,V8,X8,Z8,AB8,AD8,AF8)</f>
        <v>674025.64952999994</v>
      </c>
      <c r="E8" s="70">
        <f>E9+E10</f>
        <v>407621.81394999998</v>
      </c>
      <c r="F8" s="70">
        <f>F9+F10</f>
        <v>432029.69707999995</v>
      </c>
      <c r="G8" s="70">
        <f t="shared" ref="G8" si="0">G9+G10</f>
        <v>432029.69707999995</v>
      </c>
      <c r="H8" s="70">
        <f>IFERROR(G8/D8*100,0)</f>
        <v>64.096922332444692</v>
      </c>
      <c r="I8" s="70">
        <f>IFERROR(G8/E8*100,0)</f>
        <v>105.98787461678729</v>
      </c>
      <c r="J8" s="71">
        <f>J9+J10</f>
        <v>41304.939419999995</v>
      </c>
      <c r="K8" s="71">
        <f t="shared" ref="K8:AG8" si="1">K9+K10</f>
        <v>22728.973830000003</v>
      </c>
      <c r="L8" s="71">
        <f t="shared" si="1"/>
        <v>58193.073019999996</v>
      </c>
      <c r="M8" s="71">
        <f t="shared" si="1"/>
        <v>45900.193599999999</v>
      </c>
      <c r="N8" s="71">
        <f t="shared" si="1"/>
        <v>56819.894589999989</v>
      </c>
      <c r="O8" s="71">
        <f t="shared" si="1"/>
        <v>49439.216999999997</v>
      </c>
      <c r="P8" s="71">
        <f t="shared" si="1"/>
        <v>77314.253920000003</v>
      </c>
      <c r="Q8" s="71">
        <f t="shared" si="1"/>
        <v>66494.136979999996</v>
      </c>
      <c r="R8" s="71">
        <f t="shared" si="1"/>
        <v>54719.383289999998</v>
      </c>
      <c r="S8" s="71">
        <f t="shared" si="1"/>
        <v>50214.312130000006</v>
      </c>
      <c r="T8" s="71">
        <f t="shared" si="1"/>
        <v>56807.836470000002</v>
      </c>
      <c r="U8" s="71">
        <f t="shared" si="1"/>
        <v>49223.669450000009</v>
      </c>
      <c r="V8" s="71">
        <f t="shared" si="1"/>
        <v>62462.433239999998</v>
      </c>
      <c r="W8" s="71">
        <f t="shared" si="1"/>
        <v>62338.17714</v>
      </c>
      <c r="X8" s="71">
        <f t="shared" si="1"/>
        <v>49977.354400000004</v>
      </c>
      <c r="Y8" s="71">
        <f t="shared" si="1"/>
        <v>38392.366679999999</v>
      </c>
      <c r="Z8" s="71">
        <f t="shared" si="1"/>
        <v>54890.449660000006</v>
      </c>
      <c r="AA8" s="71">
        <f t="shared" si="1"/>
        <v>47298.650269999991</v>
      </c>
      <c r="AB8" s="71">
        <f t="shared" si="1"/>
        <v>48582.644569999997</v>
      </c>
      <c r="AC8" s="71">
        <f t="shared" si="1"/>
        <v>0</v>
      </c>
      <c r="AD8" s="71">
        <f t="shared" si="1"/>
        <v>45011.351750000002</v>
      </c>
      <c r="AE8" s="71">
        <f t="shared" si="1"/>
        <v>0</v>
      </c>
      <c r="AF8" s="71">
        <f t="shared" si="1"/>
        <v>67942.035199999998</v>
      </c>
      <c r="AG8" s="71">
        <f t="shared" si="1"/>
        <v>0</v>
      </c>
      <c r="AH8" s="461"/>
    </row>
    <row r="9" spans="1:35" s="22" customFormat="1" ht="38.25" customHeight="1" x14ac:dyDescent="0.25">
      <c r="A9" s="582"/>
      <c r="B9" s="534"/>
      <c r="C9" s="463" t="s">
        <v>21</v>
      </c>
      <c r="D9" s="74">
        <f>SUM(J9,L9,N9,P9,R9,T9,V9,X9,Z9,AB9,AD9,AF9)</f>
        <v>668105.94952999998</v>
      </c>
      <c r="E9" s="74">
        <f>J9+L9+N9+P9+R9+T9+V9</f>
        <v>404038.32795000001</v>
      </c>
      <c r="F9" s="74">
        <f>G9</f>
        <v>430161.51038999995</v>
      </c>
      <c r="G9" s="74">
        <f>G13+G23+G28</f>
        <v>430161.51038999995</v>
      </c>
      <c r="H9" s="74">
        <f t="shared" ref="H9:H10" si="2">IFERROR(G9/D9*100,0)</f>
        <v>64.385223734740052</v>
      </c>
      <c r="I9" s="74">
        <f t="shared" ref="I9:I10" si="3">IFERROR(G9/E9*100,0)</f>
        <v>106.46552087583947</v>
      </c>
      <c r="J9" s="74">
        <f>J12+J22+J27</f>
        <v>40853.848419999995</v>
      </c>
      <c r="K9" s="74">
        <f t="shared" ref="K9:AG9" si="4">K12+K22+K27</f>
        <v>22669.136530000003</v>
      </c>
      <c r="L9" s="74">
        <f t="shared" si="4"/>
        <v>57766.317019999995</v>
      </c>
      <c r="M9" s="74">
        <f t="shared" si="4"/>
        <v>45787.544379999999</v>
      </c>
      <c r="N9" s="74">
        <f t="shared" si="4"/>
        <v>56250.175589999992</v>
      </c>
      <c r="O9" s="74">
        <f t="shared" si="4"/>
        <v>49257.45405</v>
      </c>
      <c r="P9" s="74">
        <f t="shared" si="4"/>
        <v>76810.482920000009</v>
      </c>
      <c r="Q9" s="74">
        <f t="shared" si="4"/>
        <v>66200.703750000001</v>
      </c>
      <c r="R9" s="74">
        <f t="shared" si="4"/>
        <v>54250.91029</v>
      </c>
      <c r="S9" s="74">
        <f t="shared" si="4"/>
        <v>49943.289470000003</v>
      </c>
      <c r="T9" s="74">
        <f t="shared" si="4"/>
        <v>56248.911469999999</v>
      </c>
      <c r="U9" s="74">
        <f t="shared" si="4"/>
        <v>49032.389760000005</v>
      </c>
      <c r="V9" s="74">
        <f t="shared" si="4"/>
        <v>61857.682240000002</v>
      </c>
      <c r="W9" s="74">
        <f t="shared" si="4"/>
        <v>62120.436950000003</v>
      </c>
      <c r="X9" s="74">
        <f t="shared" si="4"/>
        <v>49269.9084</v>
      </c>
      <c r="Y9" s="74">
        <f t="shared" si="4"/>
        <v>38172.72406</v>
      </c>
      <c r="Z9" s="74">
        <f t="shared" si="4"/>
        <v>54459.898660000006</v>
      </c>
      <c r="AA9" s="74">
        <f t="shared" si="4"/>
        <v>46977.831439999994</v>
      </c>
      <c r="AB9" s="74">
        <f t="shared" si="4"/>
        <v>48203.101569999999</v>
      </c>
      <c r="AC9" s="74">
        <f t="shared" si="4"/>
        <v>0</v>
      </c>
      <c r="AD9" s="74">
        <f t="shared" si="4"/>
        <v>44624.105750000002</v>
      </c>
      <c r="AE9" s="74">
        <f t="shared" si="4"/>
        <v>0</v>
      </c>
      <c r="AF9" s="74">
        <f t="shared" si="4"/>
        <v>67510.607199999999</v>
      </c>
      <c r="AG9" s="74">
        <f t="shared" si="4"/>
        <v>0</v>
      </c>
      <c r="AH9" s="64"/>
    </row>
    <row r="10" spans="1:35" s="22" customFormat="1" ht="38.25" customHeight="1" x14ac:dyDescent="0.25">
      <c r="A10" s="583"/>
      <c r="B10" s="535"/>
      <c r="C10" s="463" t="s">
        <v>40</v>
      </c>
      <c r="D10" s="74">
        <f>SUM(J10,L10,N10,P10,R10,T10,V10,X10,Z10,AB10,AD10,AF10)</f>
        <v>5919.7</v>
      </c>
      <c r="E10" s="74">
        <f>J10+L10+N10+P10+R10+T10+V10</f>
        <v>3583.4859999999999</v>
      </c>
      <c r="F10" s="74">
        <f t="shared" ref="F10:G10" si="5">F14+F29</f>
        <v>1868.18669</v>
      </c>
      <c r="G10" s="74">
        <f t="shared" si="5"/>
        <v>1868.18669</v>
      </c>
      <c r="H10" s="74">
        <f t="shared" si="2"/>
        <v>31.558806865212762</v>
      </c>
      <c r="I10" s="74">
        <f t="shared" si="3"/>
        <v>52.133221393916429</v>
      </c>
      <c r="J10" s="74">
        <f>J14+J29</f>
        <v>451.09100000000001</v>
      </c>
      <c r="K10" s="74">
        <f t="shared" ref="K10:AG10" si="6">K14+K29</f>
        <v>59.837299999999999</v>
      </c>
      <c r="L10" s="74">
        <f t="shared" si="6"/>
        <v>426.75599999999997</v>
      </c>
      <c r="M10" s="74">
        <f t="shared" si="6"/>
        <v>112.64922</v>
      </c>
      <c r="N10" s="74">
        <f t="shared" si="6"/>
        <v>569.71900000000005</v>
      </c>
      <c r="O10" s="74">
        <f t="shared" si="6"/>
        <v>181.76294999999999</v>
      </c>
      <c r="P10" s="74">
        <f t="shared" si="6"/>
        <v>503.77100000000002</v>
      </c>
      <c r="Q10" s="74">
        <f t="shared" si="6"/>
        <v>293.43322999999998</v>
      </c>
      <c r="R10" s="74">
        <f t="shared" si="6"/>
        <v>468.47300000000001</v>
      </c>
      <c r="S10" s="74">
        <f t="shared" si="6"/>
        <v>271.02265999999997</v>
      </c>
      <c r="T10" s="74">
        <f t="shared" si="6"/>
        <v>558.92499999999995</v>
      </c>
      <c r="U10" s="74">
        <f t="shared" si="6"/>
        <v>191.27968999999999</v>
      </c>
      <c r="V10" s="74">
        <f t="shared" si="6"/>
        <v>604.75099999999998</v>
      </c>
      <c r="W10" s="74">
        <f t="shared" si="6"/>
        <v>217.74019000000001</v>
      </c>
      <c r="X10" s="74">
        <f t="shared" si="6"/>
        <v>707.44600000000003</v>
      </c>
      <c r="Y10" s="74">
        <f t="shared" si="6"/>
        <v>219.64261999999999</v>
      </c>
      <c r="Z10" s="74">
        <f t="shared" si="6"/>
        <v>430.55099999999999</v>
      </c>
      <c r="AA10" s="74">
        <f t="shared" si="6"/>
        <v>320.81882999999999</v>
      </c>
      <c r="AB10" s="74">
        <f t="shared" si="6"/>
        <v>379.54300000000001</v>
      </c>
      <c r="AC10" s="74">
        <f t="shared" si="6"/>
        <v>0</v>
      </c>
      <c r="AD10" s="74">
        <f t="shared" si="6"/>
        <v>387.24599999999998</v>
      </c>
      <c r="AE10" s="74">
        <f t="shared" si="6"/>
        <v>0</v>
      </c>
      <c r="AF10" s="74">
        <f t="shared" si="6"/>
        <v>431.428</v>
      </c>
      <c r="AG10" s="74">
        <f t="shared" si="6"/>
        <v>0</v>
      </c>
      <c r="AH10" s="64"/>
    </row>
    <row r="11" spans="1:35" s="26" customFormat="1" ht="18.75" customHeight="1" x14ac:dyDescent="0.25">
      <c r="A11" s="132" t="s">
        <v>151</v>
      </c>
      <c r="B11" s="596" t="s">
        <v>172</v>
      </c>
      <c r="C11" s="597"/>
      <c r="D11" s="597"/>
      <c r="E11" s="597"/>
      <c r="F11" s="597"/>
      <c r="G11" s="597"/>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8"/>
      <c r="AH11" s="75"/>
    </row>
    <row r="12" spans="1:35" s="21" customFormat="1" ht="37.15" customHeight="1" x14ac:dyDescent="0.25">
      <c r="A12" s="581" t="s">
        <v>152</v>
      </c>
      <c r="B12" s="533" t="s">
        <v>173</v>
      </c>
      <c r="C12" s="69" t="s">
        <v>20</v>
      </c>
      <c r="D12" s="70">
        <f>D15+D18</f>
        <v>130532.34553000002</v>
      </c>
      <c r="E12" s="70">
        <f t="shared" ref="E12:G14" si="7">E15+E18</f>
        <v>102749.83630000001</v>
      </c>
      <c r="F12" s="70">
        <f t="shared" si="7"/>
        <v>89960.503240000005</v>
      </c>
      <c r="G12" s="70">
        <f t="shared" si="7"/>
        <v>89960.503240000005</v>
      </c>
      <c r="H12" s="70">
        <f>IFERROR(G12/D12*100,0)</f>
        <v>68.918169573015547</v>
      </c>
      <c r="I12" s="70">
        <f>IFERROR(G12/E12*100,0)</f>
        <v>87.55294069505004</v>
      </c>
      <c r="J12" s="70">
        <f>J15+J18</f>
        <v>7704.9942799999999</v>
      </c>
      <c r="K12" s="70">
        <f t="shared" ref="K12:AG12" si="8">K15+K18</f>
        <v>2702.3260300000002</v>
      </c>
      <c r="L12" s="70">
        <f t="shared" si="8"/>
        <v>7427.2585199999994</v>
      </c>
      <c r="M12" s="70">
        <f t="shared" si="8"/>
        <v>3148.54765</v>
      </c>
      <c r="N12" s="70">
        <f t="shared" si="8"/>
        <v>12870.968129999999</v>
      </c>
      <c r="O12" s="70">
        <f t="shared" si="8"/>
        <v>16027.70062</v>
      </c>
      <c r="P12" s="70">
        <f t="shared" si="8"/>
        <v>26786.688270000002</v>
      </c>
      <c r="Q12" s="70">
        <f t="shared" si="8"/>
        <v>25207.132799999999</v>
      </c>
      <c r="R12" s="70">
        <f t="shared" si="8"/>
        <v>8613.5007800000003</v>
      </c>
      <c r="S12" s="70">
        <f t="shared" si="8"/>
        <v>9209.6076799999992</v>
      </c>
      <c r="T12" s="70">
        <f t="shared" si="8"/>
        <v>9486.5695699999997</v>
      </c>
      <c r="U12" s="70">
        <f t="shared" si="8"/>
        <v>7751.2729600000002</v>
      </c>
      <c r="V12" s="70">
        <f t="shared" si="8"/>
        <v>13797.68779</v>
      </c>
      <c r="W12" s="70">
        <f t="shared" si="8"/>
        <v>14432.30301</v>
      </c>
      <c r="X12" s="70">
        <f t="shared" si="8"/>
        <v>1811.30519</v>
      </c>
      <c r="Y12" s="70">
        <f t="shared" si="8"/>
        <v>1645.7083700000001</v>
      </c>
      <c r="Z12" s="70">
        <f t="shared" si="8"/>
        <v>14250.86377</v>
      </c>
      <c r="AA12" s="70">
        <f t="shared" si="8"/>
        <v>9835.9041199999992</v>
      </c>
      <c r="AB12" s="70">
        <f t="shared" si="8"/>
        <v>5700.4789099999998</v>
      </c>
      <c r="AC12" s="70">
        <f t="shared" si="8"/>
        <v>0</v>
      </c>
      <c r="AD12" s="70">
        <f t="shared" si="8"/>
        <v>6253.1519100000005</v>
      </c>
      <c r="AE12" s="70">
        <f t="shared" si="8"/>
        <v>0</v>
      </c>
      <c r="AF12" s="70">
        <f t="shared" si="8"/>
        <v>15828.878409999999</v>
      </c>
      <c r="AG12" s="70">
        <f t="shared" si="8"/>
        <v>0</v>
      </c>
      <c r="AH12" s="691"/>
      <c r="AI12" s="23"/>
    </row>
    <row r="13" spans="1:35" s="21" customFormat="1" ht="36.75" customHeight="1" x14ac:dyDescent="0.25">
      <c r="A13" s="582"/>
      <c r="B13" s="534"/>
      <c r="C13" s="463" t="s">
        <v>21</v>
      </c>
      <c r="D13" s="70">
        <f>D16+D19</f>
        <v>130532.34553000002</v>
      </c>
      <c r="E13" s="70">
        <f t="shared" si="7"/>
        <v>102749.83630000001</v>
      </c>
      <c r="F13" s="70">
        <f t="shared" si="7"/>
        <v>89960.503240000005</v>
      </c>
      <c r="G13" s="70">
        <f t="shared" si="7"/>
        <v>89960.503240000005</v>
      </c>
      <c r="H13" s="70">
        <f>IFERROR(G13/D13*100,0)</f>
        <v>68.918169573015547</v>
      </c>
      <c r="I13" s="70">
        <f t="shared" ref="I13:I20" si="9">IFERROR(G13/E13*100,0)</f>
        <v>87.55294069505004</v>
      </c>
      <c r="J13" s="70">
        <f t="shared" ref="J13:AG14" si="10">J16+J19</f>
        <v>7704.9942799999999</v>
      </c>
      <c r="K13" s="70">
        <f t="shared" si="10"/>
        <v>2702.3260300000002</v>
      </c>
      <c r="L13" s="70">
        <f t="shared" si="10"/>
        <v>7427.2585199999994</v>
      </c>
      <c r="M13" s="70">
        <f t="shared" si="10"/>
        <v>3148.54765</v>
      </c>
      <c r="N13" s="70">
        <f t="shared" si="10"/>
        <v>12870.968129999999</v>
      </c>
      <c r="O13" s="70">
        <f t="shared" si="10"/>
        <v>16027.70062</v>
      </c>
      <c r="P13" s="70">
        <f t="shared" si="10"/>
        <v>26786.688270000002</v>
      </c>
      <c r="Q13" s="70">
        <f t="shared" si="10"/>
        <v>25207.132799999999</v>
      </c>
      <c r="R13" s="70">
        <f t="shared" si="10"/>
        <v>8613.5007800000003</v>
      </c>
      <c r="S13" s="70">
        <f t="shared" si="10"/>
        <v>9209.6076799999992</v>
      </c>
      <c r="T13" s="70">
        <f t="shared" si="10"/>
        <v>9486.5695699999997</v>
      </c>
      <c r="U13" s="70">
        <f t="shared" si="10"/>
        <v>7751.2729600000002</v>
      </c>
      <c r="V13" s="70">
        <f t="shared" si="10"/>
        <v>13797.68779</v>
      </c>
      <c r="W13" s="70">
        <f t="shared" si="10"/>
        <v>14432.30301</v>
      </c>
      <c r="X13" s="70">
        <f t="shared" si="10"/>
        <v>1811.30519</v>
      </c>
      <c r="Y13" s="70">
        <f t="shared" si="10"/>
        <v>1645.7083700000001</v>
      </c>
      <c r="Z13" s="70">
        <f t="shared" si="10"/>
        <v>14250.86377</v>
      </c>
      <c r="AA13" s="70">
        <f t="shared" si="10"/>
        <v>9835.9041199999992</v>
      </c>
      <c r="AB13" s="70">
        <f t="shared" si="10"/>
        <v>5700.4789099999998</v>
      </c>
      <c r="AC13" s="70">
        <f t="shared" si="10"/>
        <v>0</v>
      </c>
      <c r="AD13" s="70">
        <f t="shared" si="10"/>
        <v>6253.1519100000005</v>
      </c>
      <c r="AE13" s="70">
        <f t="shared" si="10"/>
        <v>0</v>
      </c>
      <c r="AF13" s="70">
        <f t="shared" si="10"/>
        <v>15828.878409999999</v>
      </c>
      <c r="AG13" s="70">
        <f t="shared" si="10"/>
        <v>0</v>
      </c>
      <c r="AH13" s="691"/>
      <c r="AI13" s="23"/>
    </row>
    <row r="14" spans="1:35" s="21" customFormat="1" ht="42.75" customHeight="1" x14ac:dyDescent="0.25">
      <c r="A14" s="583"/>
      <c r="B14" s="535"/>
      <c r="C14" s="463" t="s">
        <v>40</v>
      </c>
      <c r="D14" s="70">
        <f>D17+D20</f>
        <v>0</v>
      </c>
      <c r="E14" s="70">
        <f t="shared" si="7"/>
        <v>0</v>
      </c>
      <c r="F14" s="70">
        <f t="shared" si="7"/>
        <v>0</v>
      </c>
      <c r="G14" s="70">
        <f t="shared" si="7"/>
        <v>0</v>
      </c>
      <c r="H14" s="74">
        <f t="shared" ref="H14:H20" si="11">IFERROR(G14/D14*100,0)</f>
        <v>0</v>
      </c>
      <c r="I14" s="74">
        <f t="shared" si="9"/>
        <v>0</v>
      </c>
      <c r="J14" s="70">
        <f t="shared" si="10"/>
        <v>0</v>
      </c>
      <c r="K14" s="70">
        <f t="shared" si="10"/>
        <v>0</v>
      </c>
      <c r="L14" s="70">
        <f t="shared" si="10"/>
        <v>0</v>
      </c>
      <c r="M14" s="70">
        <f t="shared" si="10"/>
        <v>0</v>
      </c>
      <c r="N14" s="70">
        <f t="shared" si="10"/>
        <v>0</v>
      </c>
      <c r="O14" s="70">
        <f t="shared" si="10"/>
        <v>0</v>
      </c>
      <c r="P14" s="70">
        <f t="shared" si="10"/>
        <v>0</v>
      </c>
      <c r="Q14" s="70">
        <f t="shared" si="10"/>
        <v>0</v>
      </c>
      <c r="R14" s="70">
        <f t="shared" si="10"/>
        <v>0</v>
      </c>
      <c r="S14" s="70">
        <f t="shared" si="10"/>
        <v>0</v>
      </c>
      <c r="T14" s="70">
        <f t="shared" si="10"/>
        <v>0</v>
      </c>
      <c r="U14" s="70">
        <f t="shared" si="10"/>
        <v>0</v>
      </c>
      <c r="V14" s="70">
        <f t="shared" si="10"/>
        <v>0</v>
      </c>
      <c r="W14" s="70">
        <f t="shared" si="10"/>
        <v>0</v>
      </c>
      <c r="X14" s="70">
        <f t="shared" si="10"/>
        <v>0</v>
      </c>
      <c r="Y14" s="70">
        <f t="shared" si="10"/>
        <v>0</v>
      </c>
      <c r="Z14" s="70">
        <f t="shared" si="10"/>
        <v>0</v>
      </c>
      <c r="AA14" s="70">
        <f t="shared" si="10"/>
        <v>0</v>
      </c>
      <c r="AB14" s="70">
        <f t="shared" si="10"/>
        <v>0</v>
      </c>
      <c r="AC14" s="70">
        <f t="shared" si="10"/>
        <v>0</v>
      </c>
      <c r="AD14" s="70">
        <f t="shared" si="10"/>
        <v>0</v>
      </c>
      <c r="AE14" s="70">
        <f t="shared" si="10"/>
        <v>0</v>
      </c>
      <c r="AF14" s="70">
        <f t="shared" si="10"/>
        <v>0</v>
      </c>
      <c r="AG14" s="70">
        <f t="shared" si="10"/>
        <v>0</v>
      </c>
      <c r="AH14" s="691"/>
      <c r="AI14" s="23"/>
    </row>
    <row r="15" spans="1:35" s="21" customFormat="1" ht="31.15" customHeight="1" x14ac:dyDescent="0.25">
      <c r="A15" s="692" t="s">
        <v>277</v>
      </c>
      <c r="B15" s="695" t="s">
        <v>343</v>
      </c>
      <c r="C15" s="462" t="s">
        <v>20</v>
      </c>
      <c r="D15" s="70">
        <f>D16+D17</f>
        <v>50906.299999999996</v>
      </c>
      <c r="E15" s="70">
        <f>E16+E17</f>
        <v>32741.991879999998</v>
      </c>
      <c r="F15" s="70">
        <f>F16+F17</f>
        <v>24134.391980000004</v>
      </c>
      <c r="G15" s="70">
        <f>G16+G17</f>
        <v>24134.391980000004</v>
      </c>
      <c r="H15" s="70">
        <f t="shared" si="11"/>
        <v>47.40944044253856</v>
      </c>
      <c r="I15" s="70">
        <f t="shared" si="9"/>
        <v>73.710823912158403</v>
      </c>
      <c r="J15" s="71">
        <f>J16</f>
        <v>7704.9942799999999</v>
      </c>
      <c r="K15" s="71">
        <f t="shared" ref="K15:AG15" si="12">K16</f>
        <v>2702.3260300000002</v>
      </c>
      <c r="L15" s="71">
        <f t="shared" si="12"/>
        <v>3963.0816</v>
      </c>
      <c r="M15" s="71">
        <f t="shared" si="12"/>
        <v>3148.54765</v>
      </c>
      <c r="N15" s="71">
        <f t="shared" si="12"/>
        <v>2870.9686999999999</v>
      </c>
      <c r="O15" s="71">
        <f t="shared" si="12"/>
        <v>2848.6242699999998</v>
      </c>
      <c r="P15" s="71">
        <f t="shared" si="12"/>
        <v>5511.61258</v>
      </c>
      <c r="Q15" s="71">
        <f t="shared" si="12"/>
        <v>3646.99019</v>
      </c>
      <c r="R15" s="71">
        <f t="shared" si="12"/>
        <v>2506.34996</v>
      </c>
      <c r="S15" s="71">
        <f t="shared" si="12"/>
        <v>3102.4574299999999</v>
      </c>
      <c r="T15" s="71">
        <f t="shared" si="12"/>
        <v>1974.95163</v>
      </c>
      <c r="U15" s="71">
        <f t="shared" si="12"/>
        <v>2283.8613399999999</v>
      </c>
      <c r="V15" s="71">
        <f t="shared" si="12"/>
        <v>4344.1199500000002</v>
      </c>
      <c r="W15" s="71">
        <f t="shared" si="12"/>
        <v>3019.6281399999998</v>
      </c>
      <c r="X15" s="71">
        <f t="shared" si="12"/>
        <v>1791.45658</v>
      </c>
      <c r="Y15" s="71">
        <f t="shared" si="12"/>
        <v>1645.7083700000001</v>
      </c>
      <c r="Z15" s="71">
        <f t="shared" si="12"/>
        <v>2074.4566</v>
      </c>
      <c r="AA15" s="71">
        <f t="shared" si="12"/>
        <v>1736.24856</v>
      </c>
      <c r="AB15" s="71">
        <f t="shared" si="12"/>
        <v>5126.8289599999998</v>
      </c>
      <c r="AC15" s="71">
        <f t="shared" si="12"/>
        <v>0</v>
      </c>
      <c r="AD15" s="71">
        <f t="shared" si="12"/>
        <v>2581.4936699999998</v>
      </c>
      <c r="AE15" s="71">
        <f t="shared" si="12"/>
        <v>0</v>
      </c>
      <c r="AF15" s="71">
        <f t="shared" si="12"/>
        <v>10455.985489999999</v>
      </c>
      <c r="AG15" s="71">
        <f t="shared" si="12"/>
        <v>0</v>
      </c>
      <c r="AH15" s="698" t="s">
        <v>377</v>
      </c>
      <c r="AI15" s="23"/>
    </row>
    <row r="16" spans="1:35" s="21" customFormat="1" ht="36.75" customHeight="1" x14ac:dyDescent="0.25">
      <c r="A16" s="693"/>
      <c r="B16" s="696"/>
      <c r="C16" s="112" t="s">
        <v>21</v>
      </c>
      <c r="D16" s="74">
        <f>SUM(J16,L16,N16,P16,R16,T16,V16,X16,Z16,AB16,AD16,AF16)</f>
        <v>50906.299999999996</v>
      </c>
      <c r="E16" s="74">
        <f>J16+L16+N16+P16+R16+T16+V16+X16+Z16</f>
        <v>32741.991879999998</v>
      </c>
      <c r="F16" s="74">
        <f>G16</f>
        <v>24134.391980000004</v>
      </c>
      <c r="G16" s="74">
        <f>SUM(K16,M16,O16,Q16,S16,U16,W16,Y16,AA16,AC16,AE16,AG16)</f>
        <v>24134.391980000004</v>
      </c>
      <c r="H16" s="74">
        <f t="shared" si="11"/>
        <v>47.40944044253856</v>
      </c>
      <c r="I16" s="74">
        <f t="shared" si="9"/>
        <v>73.710823912158403</v>
      </c>
      <c r="J16" s="67">
        <v>7704.9942799999999</v>
      </c>
      <c r="K16" s="67">
        <v>2702.3260300000002</v>
      </c>
      <c r="L16" s="67">
        <v>3963.0816</v>
      </c>
      <c r="M16" s="67">
        <v>3148.54765</v>
      </c>
      <c r="N16" s="67">
        <v>2870.9686999999999</v>
      </c>
      <c r="O16" s="67">
        <v>2848.6242699999998</v>
      </c>
      <c r="P16" s="67">
        <v>5511.61258</v>
      </c>
      <c r="Q16" s="67">
        <v>3646.99019</v>
      </c>
      <c r="R16" s="67">
        <v>2506.34996</v>
      </c>
      <c r="S16" s="67">
        <v>3102.4574299999999</v>
      </c>
      <c r="T16" s="67">
        <v>1974.95163</v>
      </c>
      <c r="U16" s="67">
        <v>2283.8613399999999</v>
      </c>
      <c r="V16" s="67">
        <v>4344.1199500000002</v>
      </c>
      <c r="W16" s="67">
        <v>3019.6281399999998</v>
      </c>
      <c r="X16" s="67">
        <v>1791.45658</v>
      </c>
      <c r="Y16" s="67">
        <v>1645.7083700000001</v>
      </c>
      <c r="Z16" s="67">
        <v>2074.4566</v>
      </c>
      <c r="AA16" s="67">
        <v>1736.24856</v>
      </c>
      <c r="AB16" s="67">
        <v>5126.8289599999998</v>
      </c>
      <c r="AC16" s="67">
        <v>0</v>
      </c>
      <c r="AD16" s="67">
        <v>2581.4936699999998</v>
      </c>
      <c r="AE16" s="67">
        <v>0</v>
      </c>
      <c r="AF16" s="67">
        <v>10455.985489999999</v>
      </c>
      <c r="AG16" s="67">
        <v>0</v>
      </c>
      <c r="AH16" s="698"/>
      <c r="AI16" s="23"/>
    </row>
    <row r="17" spans="1:35" s="21" customFormat="1" ht="36.75" customHeight="1" x14ac:dyDescent="0.25">
      <c r="A17" s="694"/>
      <c r="B17" s="697"/>
      <c r="C17" s="463" t="s">
        <v>40</v>
      </c>
      <c r="D17" s="74">
        <f>SUM(J17,L17,N17,P17,R17,T17,V17,X17,Z17,AB17,AD17,AF17)</f>
        <v>0</v>
      </c>
      <c r="E17" s="74">
        <f>J17+L17+N17+P17+R17+T17+V17+X17+Z17</f>
        <v>0</v>
      </c>
      <c r="F17" s="74">
        <f>G17</f>
        <v>0</v>
      </c>
      <c r="G17" s="74">
        <f>SUM(K17,M17,O17,Q17,S17,U17,W17,Y17,AA17,AC17,AE17,AG17)</f>
        <v>0</v>
      </c>
      <c r="H17" s="74">
        <f t="shared" si="11"/>
        <v>0</v>
      </c>
      <c r="I17" s="74">
        <f t="shared" si="9"/>
        <v>0</v>
      </c>
      <c r="J17" s="74">
        <v>0</v>
      </c>
      <c r="K17" s="74">
        <v>0</v>
      </c>
      <c r="L17" s="74">
        <v>0</v>
      </c>
      <c r="M17" s="74">
        <v>0</v>
      </c>
      <c r="N17" s="74">
        <v>0</v>
      </c>
      <c r="O17" s="74">
        <v>0</v>
      </c>
      <c r="P17" s="74">
        <v>0</v>
      </c>
      <c r="Q17" s="74">
        <v>0</v>
      </c>
      <c r="R17" s="74">
        <v>0</v>
      </c>
      <c r="S17" s="74">
        <v>0</v>
      </c>
      <c r="T17" s="74">
        <v>0</v>
      </c>
      <c r="U17" s="74">
        <v>0</v>
      </c>
      <c r="V17" s="74">
        <v>0</v>
      </c>
      <c r="W17" s="74">
        <v>0</v>
      </c>
      <c r="X17" s="74">
        <v>0</v>
      </c>
      <c r="Y17" s="74">
        <v>0</v>
      </c>
      <c r="Z17" s="74">
        <v>0</v>
      </c>
      <c r="AA17" s="74">
        <v>0</v>
      </c>
      <c r="AB17" s="74">
        <v>0</v>
      </c>
      <c r="AC17" s="74">
        <v>0</v>
      </c>
      <c r="AD17" s="74">
        <v>0</v>
      </c>
      <c r="AE17" s="74">
        <v>0</v>
      </c>
      <c r="AF17" s="74">
        <v>0</v>
      </c>
      <c r="AG17" s="74">
        <v>0</v>
      </c>
      <c r="AH17" s="698"/>
      <c r="AI17" s="23"/>
    </row>
    <row r="18" spans="1:35" s="100" customFormat="1" ht="409.5" customHeight="1" x14ac:dyDescent="0.25">
      <c r="A18" s="665" t="s">
        <v>344</v>
      </c>
      <c r="B18" s="695" t="s">
        <v>345</v>
      </c>
      <c r="C18" s="69" t="s">
        <v>20</v>
      </c>
      <c r="D18" s="70">
        <f>D19+D20</f>
        <v>79626.045530000018</v>
      </c>
      <c r="E18" s="70">
        <f>E19+E20</f>
        <v>70007.844420000009</v>
      </c>
      <c r="F18" s="70">
        <f>F19+F20</f>
        <v>65826.111260000005</v>
      </c>
      <c r="G18" s="70">
        <f>G19+G20</f>
        <v>65826.111260000005</v>
      </c>
      <c r="H18" s="70">
        <f t="shared" si="11"/>
        <v>82.669069927878397</v>
      </c>
      <c r="I18" s="70">
        <f t="shared" si="9"/>
        <v>94.026764865216506</v>
      </c>
      <c r="J18" s="71">
        <f>J19+J20</f>
        <v>0</v>
      </c>
      <c r="K18" s="71">
        <f t="shared" ref="K18:AG18" si="13">K19+K20</f>
        <v>0</v>
      </c>
      <c r="L18" s="71">
        <f t="shared" si="13"/>
        <v>3464.1769199999999</v>
      </c>
      <c r="M18" s="71">
        <f t="shared" si="13"/>
        <v>0</v>
      </c>
      <c r="N18" s="71">
        <f t="shared" si="13"/>
        <v>9999.9994299999998</v>
      </c>
      <c r="O18" s="71">
        <f t="shared" si="13"/>
        <v>13179.076349999999</v>
      </c>
      <c r="P18" s="71">
        <f t="shared" si="13"/>
        <v>21275.075690000001</v>
      </c>
      <c r="Q18" s="71">
        <f t="shared" si="13"/>
        <v>21560.142609999999</v>
      </c>
      <c r="R18" s="71">
        <f t="shared" si="13"/>
        <v>6107.1508199999998</v>
      </c>
      <c r="S18" s="71">
        <f t="shared" si="13"/>
        <v>6107.1502499999997</v>
      </c>
      <c r="T18" s="71">
        <f t="shared" si="13"/>
        <v>7511.6179400000001</v>
      </c>
      <c r="U18" s="71">
        <f t="shared" si="13"/>
        <v>5467.4116199999999</v>
      </c>
      <c r="V18" s="71">
        <f t="shared" si="13"/>
        <v>9453.5678399999997</v>
      </c>
      <c r="W18" s="71">
        <f t="shared" si="13"/>
        <v>11412.674870000001</v>
      </c>
      <c r="X18" s="71">
        <f t="shared" si="13"/>
        <v>19.848610000000001</v>
      </c>
      <c r="Y18" s="71">
        <f t="shared" si="13"/>
        <v>0</v>
      </c>
      <c r="Z18" s="71">
        <f t="shared" si="13"/>
        <v>12176.40717</v>
      </c>
      <c r="AA18" s="71">
        <f t="shared" si="13"/>
        <v>8099.6555600000002</v>
      </c>
      <c r="AB18" s="71">
        <f t="shared" si="13"/>
        <v>573.64994999999999</v>
      </c>
      <c r="AC18" s="71">
        <f t="shared" si="13"/>
        <v>0</v>
      </c>
      <c r="AD18" s="71">
        <f t="shared" si="13"/>
        <v>3671.6582400000002</v>
      </c>
      <c r="AE18" s="71">
        <f t="shared" si="13"/>
        <v>0</v>
      </c>
      <c r="AF18" s="71">
        <f t="shared" si="13"/>
        <v>5372.8929200000002</v>
      </c>
      <c r="AG18" s="71">
        <f t="shared" si="13"/>
        <v>0</v>
      </c>
      <c r="AH18" s="699" t="s">
        <v>403</v>
      </c>
      <c r="AI18" s="386"/>
    </row>
    <row r="19" spans="1:35" s="33" customFormat="1" ht="324" customHeight="1" x14ac:dyDescent="0.25">
      <c r="A19" s="560"/>
      <c r="B19" s="696"/>
      <c r="C19" s="463" t="s">
        <v>21</v>
      </c>
      <c r="D19" s="74">
        <f>SUM(J19,L19,N19,P19,R19,T19,V19,X19,Z19,AB19,AD19,AF19)</f>
        <v>79626.045530000018</v>
      </c>
      <c r="E19" s="74">
        <f t="shared" ref="E19:E20" si="14">J19+L19+N19+P19+R19+T19+V19+X19+Z19</f>
        <v>70007.844420000009</v>
      </c>
      <c r="F19" s="74">
        <f>G19</f>
        <v>65826.111260000005</v>
      </c>
      <c r="G19" s="74">
        <f>SUM(K19,M19,O19,Q19,S19,U19,W19,Y19,AA19,AC19,AE19,AG19)</f>
        <v>65826.111260000005</v>
      </c>
      <c r="H19" s="74">
        <f t="shared" si="11"/>
        <v>82.669069927878397</v>
      </c>
      <c r="I19" s="74">
        <f t="shared" si="9"/>
        <v>94.026764865216506</v>
      </c>
      <c r="J19" s="67">
        <v>0</v>
      </c>
      <c r="K19" s="67">
        <v>0</v>
      </c>
      <c r="L19" s="67">
        <v>3464.1769199999999</v>
      </c>
      <c r="M19" s="67">
        <v>0</v>
      </c>
      <c r="N19" s="67">
        <v>9999.9994299999998</v>
      </c>
      <c r="O19" s="67">
        <v>13179.076349999999</v>
      </c>
      <c r="P19" s="67">
        <v>21275.075690000001</v>
      </c>
      <c r="Q19" s="67">
        <f>285.09+21275.05261</f>
        <v>21560.142609999999</v>
      </c>
      <c r="R19" s="67">
        <v>6107.1508199999998</v>
      </c>
      <c r="S19" s="67">
        <v>6107.1502499999997</v>
      </c>
      <c r="T19" s="67">
        <v>7511.6179400000001</v>
      </c>
      <c r="U19" s="67">
        <v>5467.4116199999999</v>
      </c>
      <c r="V19" s="67">
        <v>9453.5678399999997</v>
      </c>
      <c r="W19" s="67">
        <v>11412.674870000001</v>
      </c>
      <c r="X19" s="67">
        <v>19.848610000000001</v>
      </c>
      <c r="Y19" s="67">
        <v>0</v>
      </c>
      <c r="Z19" s="67">
        <v>12176.40717</v>
      </c>
      <c r="AA19" s="67">
        <v>8099.6555600000002</v>
      </c>
      <c r="AB19" s="67">
        <v>573.64994999999999</v>
      </c>
      <c r="AC19" s="67">
        <v>0</v>
      </c>
      <c r="AD19" s="67">
        <v>3671.6582400000002</v>
      </c>
      <c r="AE19" s="67">
        <v>0</v>
      </c>
      <c r="AF19" s="67">
        <v>5372.8929200000002</v>
      </c>
      <c r="AG19" s="67">
        <v>0</v>
      </c>
      <c r="AH19" s="700"/>
      <c r="AI19" s="386"/>
    </row>
    <row r="20" spans="1:35" s="33" customFormat="1" ht="178.5" customHeight="1" x14ac:dyDescent="0.25">
      <c r="A20" s="567"/>
      <c r="B20" s="697"/>
      <c r="C20" s="463" t="s">
        <v>40</v>
      </c>
      <c r="D20" s="74">
        <f>SUM(J20,L20,N20,P20,R20,T20,V20,X20,Z20,AB20,AD20,AF20)</f>
        <v>0</v>
      </c>
      <c r="E20" s="74">
        <f t="shared" si="14"/>
        <v>0</v>
      </c>
      <c r="F20" s="74">
        <f>G20</f>
        <v>0</v>
      </c>
      <c r="G20" s="74">
        <f>SUM(K20,M20,O20,Q20,S20,U20,W20,Y20,AA20,AC20,AE20,AG20)</f>
        <v>0</v>
      </c>
      <c r="H20" s="74">
        <f t="shared" si="11"/>
        <v>0</v>
      </c>
      <c r="I20" s="74">
        <f t="shared" si="9"/>
        <v>0</v>
      </c>
      <c r="J20" s="74">
        <v>0</v>
      </c>
      <c r="K20" s="74">
        <v>0</v>
      </c>
      <c r="L20" s="74">
        <v>0</v>
      </c>
      <c r="M20" s="74">
        <v>0</v>
      </c>
      <c r="N20" s="74">
        <v>0</v>
      </c>
      <c r="O20" s="74">
        <v>0</v>
      </c>
      <c r="P20" s="74">
        <v>0</v>
      </c>
      <c r="Q20" s="74">
        <v>0</v>
      </c>
      <c r="R20" s="74">
        <v>0</v>
      </c>
      <c r="S20" s="74">
        <v>0</v>
      </c>
      <c r="T20" s="74">
        <v>0</v>
      </c>
      <c r="U20" s="74">
        <v>0</v>
      </c>
      <c r="V20" s="74">
        <v>0</v>
      </c>
      <c r="W20" s="74">
        <v>0</v>
      </c>
      <c r="X20" s="74">
        <v>0</v>
      </c>
      <c r="Y20" s="74">
        <v>0</v>
      </c>
      <c r="Z20" s="74">
        <v>0</v>
      </c>
      <c r="AA20" s="74">
        <v>0</v>
      </c>
      <c r="AB20" s="74">
        <v>0</v>
      </c>
      <c r="AC20" s="74">
        <v>0</v>
      </c>
      <c r="AD20" s="74">
        <v>0</v>
      </c>
      <c r="AE20" s="74">
        <v>0</v>
      </c>
      <c r="AF20" s="74">
        <v>0</v>
      </c>
      <c r="AG20" s="74">
        <v>0</v>
      </c>
      <c r="AH20" s="701"/>
      <c r="AI20" s="386"/>
    </row>
    <row r="21" spans="1:35" s="134" customFormat="1" ht="21" customHeight="1" x14ac:dyDescent="0.25">
      <c r="A21" s="132" t="s">
        <v>153</v>
      </c>
      <c r="B21" s="596" t="s">
        <v>32</v>
      </c>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8"/>
      <c r="AH21" s="43"/>
      <c r="AI21" s="133"/>
    </row>
    <row r="22" spans="1:35" s="21" customFormat="1" ht="57.75" customHeight="1" x14ac:dyDescent="0.25">
      <c r="A22" s="581" t="s">
        <v>38</v>
      </c>
      <c r="B22" s="533" t="s">
        <v>34</v>
      </c>
      <c r="C22" s="69" t="s">
        <v>20</v>
      </c>
      <c r="D22" s="70">
        <f>D24</f>
        <v>41988.499999999993</v>
      </c>
      <c r="E22" s="70">
        <f t="shared" ref="E22:G23" si="15">E24</f>
        <v>33387.606579999992</v>
      </c>
      <c r="F22" s="70">
        <f t="shared" si="15"/>
        <v>30703.893779999999</v>
      </c>
      <c r="G22" s="70">
        <f t="shared" si="15"/>
        <v>30703.893779999999</v>
      </c>
      <c r="H22" s="70">
        <f>IFERROR(G22/D22*100,0)</f>
        <v>73.124531193064783</v>
      </c>
      <c r="I22" s="70">
        <f>IFERROR(G22/E22*100,0)</f>
        <v>91.961949133521884</v>
      </c>
      <c r="J22" s="70">
        <f>J24</f>
        <v>6240.2985200000003</v>
      </c>
      <c r="K22" s="70">
        <f t="shared" ref="K22:AG23" si="16">K24</f>
        <v>2767.8380699999998</v>
      </c>
      <c r="L22" s="70">
        <f t="shared" si="16"/>
        <v>5678.0733799999998</v>
      </c>
      <c r="M22" s="70">
        <f t="shared" si="16"/>
        <v>5103.8298999999997</v>
      </c>
      <c r="N22" s="70">
        <f t="shared" si="16"/>
        <v>2807.4114399999999</v>
      </c>
      <c r="O22" s="70">
        <f t="shared" si="16"/>
        <v>3034.1422400000001</v>
      </c>
      <c r="P22" s="70">
        <f t="shared" si="16"/>
        <v>3185.3745600000002</v>
      </c>
      <c r="Q22" s="70">
        <f t="shared" si="16"/>
        <v>3774.7721900000001</v>
      </c>
      <c r="R22" s="70">
        <f t="shared" si="16"/>
        <v>2858.9329299999999</v>
      </c>
      <c r="S22" s="70">
        <f t="shared" si="16"/>
        <v>1855.2032400000001</v>
      </c>
      <c r="T22" s="70">
        <f t="shared" si="16"/>
        <v>3265.6521200000002</v>
      </c>
      <c r="U22" s="70">
        <f t="shared" si="16"/>
        <v>3722.6950299999999</v>
      </c>
      <c r="V22" s="70">
        <f t="shared" si="16"/>
        <v>3170.4202500000001</v>
      </c>
      <c r="W22" s="70">
        <f t="shared" si="16"/>
        <v>3083.6675399999999</v>
      </c>
      <c r="X22" s="70">
        <f t="shared" si="16"/>
        <v>2868.5763299999999</v>
      </c>
      <c r="Y22" s="70">
        <f t="shared" si="16"/>
        <v>3140.1251099999999</v>
      </c>
      <c r="Z22" s="70">
        <f t="shared" si="16"/>
        <v>3312.8670499999998</v>
      </c>
      <c r="AA22" s="70">
        <f t="shared" si="16"/>
        <v>4221.6204600000001</v>
      </c>
      <c r="AB22" s="70">
        <f t="shared" si="16"/>
        <v>2698.1312699999999</v>
      </c>
      <c r="AC22" s="70">
        <f t="shared" si="16"/>
        <v>0</v>
      </c>
      <c r="AD22" s="70">
        <f t="shared" si="16"/>
        <v>2803.2162800000001</v>
      </c>
      <c r="AE22" s="70">
        <f t="shared" si="16"/>
        <v>0</v>
      </c>
      <c r="AF22" s="70">
        <f t="shared" si="16"/>
        <v>3099.5458699999999</v>
      </c>
      <c r="AG22" s="70">
        <f t="shared" si="16"/>
        <v>0</v>
      </c>
      <c r="AH22" s="699" t="s">
        <v>404</v>
      </c>
      <c r="AI22" s="20"/>
    </row>
    <row r="23" spans="1:35" s="22" customFormat="1" ht="44.25" customHeight="1" x14ac:dyDescent="0.25">
      <c r="A23" s="583"/>
      <c r="B23" s="535"/>
      <c r="C23" s="463" t="s">
        <v>21</v>
      </c>
      <c r="D23" s="74">
        <f>D25</f>
        <v>41988.499999999993</v>
      </c>
      <c r="E23" s="74">
        <f t="shared" si="15"/>
        <v>33387.606579999992</v>
      </c>
      <c r="F23" s="74">
        <f t="shared" si="15"/>
        <v>30703.893779999999</v>
      </c>
      <c r="G23" s="74">
        <f t="shared" si="15"/>
        <v>30703.893779999999</v>
      </c>
      <c r="H23" s="74">
        <f t="shared" ref="H23:H25" si="17">IFERROR(G23/D23*100,0)</f>
        <v>73.124531193064783</v>
      </c>
      <c r="I23" s="74">
        <f t="shared" ref="I23:I25" si="18">IFERROR(G23/E23*100,0)</f>
        <v>91.961949133521884</v>
      </c>
      <c r="J23" s="74">
        <f>J25</f>
        <v>6240.2985200000003</v>
      </c>
      <c r="K23" s="74">
        <f t="shared" si="16"/>
        <v>2767.8380699999998</v>
      </c>
      <c r="L23" s="74">
        <f t="shared" si="16"/>
        <v>5678.0733799999998</v>
      </c>
      <c r="M23" s="74">
        <f t="shared" si="16"/>
        <v>5103.8298999999997</v>
      </c>
      <c r="N23" s="74">
        <f t="shared" si="16"/>
        <v>2807.4114399999999</v>
      </c>
      <c r="O23" s="74">
        <f t="shared" si="16"/>
        <v>3034.1422400000001</v>
      </c>
      <c r="P23" s="74">
        <f t="shared" si="16"/>
        <v>3185.3745600000002</v>
      </c>
      <c r="Q23" s="74">
        <f t="shared" si="16"/>
        <v>3774.7721900000001</v>
      </c>
      <c r="R23" s="74">
        <f t="shared" si="16"/>
        <v>2858.9329299999999</v>
      </c>
      <c r="S23" s="74">
        <f t="shared" si="16"/>
        <v>1855.2032400000001</v>
      </c>
      <c r="T23" s="74">
        <f t="shared" si="16"/>
        <v>3265.6521200000002</v>
      </c>
      <c r="U23" s="74">
        <f t="shared" si="16"/>
        <v>3722.6950299999999</v>
      </c>
      <c r="V23" s="74">
        <f t="shared" si="16"/>
        <v>3170.4202500000001</v>
      </c>
      <c r="W23" s="74">
        <f t="shared" si="16"/>
        <v>3083.6675399999999</v>
      </c>
      <c r="X23" s="74">
        <f t="shared" si="16"/>
        <v>2868.5763299999999</v>
      </c>
      <c r="Y23" s="74">
        <f t="shared" si="16"/>
        <v>3140.1251099999999</v>
      </c>
      <c r="Z23" s="74">
        <f t="shared" si="16"/>
        <v>3312.8670499999998</v>
      </c>
      <c r="AA23" s="74">
        <f t="shared" si="16"/>
        <v>4221.6204600000001</v>
      </c>
      <c r="AB23" s="74">
        <f t="shared" si="16"/>
        <v>2698.1312699999999</v>
      </c>
      <c r="AC23" s="74">
        <f t="shared" si="16"/>
        <v>0</v>
      </c>
      <c r="AD23" s="74">
        <f t="shared" si="16"/>
        <v>2803.2162800000001</v>
      </c>
      <c r="AE23" s="74">
        <f t="shared" si="16"/>
        <v>0</v>
      </c>
      <c r="AF23" s="74">
        <f t="shared" si="16"/>
        <v>3099.5458699999999</v>
      </c>
      <c r="AG23" s="74">
        <f t="shared" si="16"/>
        <v>0</v>
      </c>
      <c r="AH23" s="700"/>
      <c r="AI23" s="20"/>
    </row>
    <row r="24" spans="1:35" s="100" customFormat="1" ht="34.5" customHeight="1" x14ac:dyDescent="0.25">
      <c r="A24" s="610"/>
      <c r="B24" s="702" t="s">
        <v>174</v>
      </c>
      <c r="C24" s="69" t="s">
        <v>20</v>
      </c>
      <c r="D24" s="70">
        <f>D25</f>
        <v>41988.499999999993</v>
      </c>
      <c r="E24" s="70">
        <f>E25</f>
        <v>33387.606579999992</v>
      </c>
      <c r="F24" s="70">
        <f>F25</f>
        <v>30703.893779999999</v>
      </c>
      <c r="G24" s="70">
        <f>G25</f>
        <v>30703.893779999999</v>
      </c>
      <c r="H24" s="70">
        <f t="shared" si="17"/>
        <v>73.124531193064783</v>
      </c>
      <c r="I24" s="70">
        <f t="shared" si="18"/>
        <v>91.961949133521884</v>
      </c>
      <c r="J24" s="71">
        <f>J25</f>
        <v>6240.2985200000003</v>
      </c>
      <c r="K24" s="71">
        <f t="shared" ref="K24:AG24" si="19">K25</f>
        <v>2767.8380699999998</v>
      </c>
      <c r="L24" s="71">
        <f t="shared" si="19"/>
        <v>5678.0733799999998</v>
      </c>
      <c r="M24" s="71">
        <f t="shared" si="19"/>
        <v>5103.8298999999997</v>
      </c>
      <c r="N24" s="71">
        <f t="shared" si="19"/>
        <v>2807.4114399999999</v>
      </c>
      <c r="O24" s="71">
        <f t="shared" si="19"/>
        <v>3034.1422400000001</v>
      </c>
      <c r="P24" s="71">
        <f t="shared" si="19"/>
        <v>3185.3745600000002</v>
      </c>
      <c r="Q24" s="71">
        <f t="shared" si="19"/>
        <v>3774.7721900000001</v>
      </c>
      <c r="R24" s="71">
        <f t="shared" si="19"/>
        <v>2858.9329299999999</v>
      </c>
      <c r="S24" s="71">
        <f t="shared" si="19"/>
        <v>1855.2032400000001</v>
      </c>
      <c r="T24" s="71">
        <f t="shared" si="19"/>
        <v>3265.6521200000002</v>
      </c>
      <c r="U24" s="71">
        <f t="shared" si="19"/>
        <v>3722.6950299999999</v>
      </c>
      <c r="V24" s="71">
        <f t="shared" si="19"/>
        <v>3170.4202500000001</v>
      </c>
      <c r="W24" s="71">
        <f t="shared" si="19"/>
        <v>3083.6675399999999</v>
      </c>
      <c r="X24" s="71">
        <f t="shared" si="19"/>
        <v>2868.5763299999999</v>
      </c>
      <c r="Y24" s="71">
        <f t="shared" si="19"/>
        <v>3140.1251099999999</v>
      </c>
      <c r="Z24" s="71">
        <f t="shared" si="19"/>
        <v>3312.8670499999998</v>
      </c>
      <c r="AA24" s="71">
        <f t="shared" si="19"/>
        <v>4221.6204600000001</v>
      </c>
      <c r="AB24" s="71">
        <f t="shared" si="19"/>
        <v>2698.1312699999999</v>
      </c>
      <c r="AC24" s="71">
        <f t="shared" si="19"/>
        <v>0</v>
      </c>
      <c r="AD24" s="71">
        <f t="shared" si="19"/>
        <v>2803.2162800000001</v>
      </c>
      <c r="AE24" s="71">
        <f t="shared" si="19"/>
        <v>0</v>
      </c>
      <c r="AF24" s="71">
        <f t="shared" si="19"/>
        <v>3099.5458699999999</v>
      </c>
      <c r="AG24" s="71">
        <f t="shared" si="19"/>
        <v>0</v>
      </c>
      <c r="AH24" s="700"/>
      <c r="AI24" s="106"/>
    </row>
    <row r="25" spans="1:35" s="33" customFormat="1" ht="43.5" customHeight="1" x14ac:dyDescent="0.25">
      <c r="A25" s="612"/>
      <c r="B25" s="703"/>
      <c r="C25" s="463" t="s">
        <v>21</v>
      </c>
      <c r="D25" s="74">
        <f>SUM(J25,L25,N25,P25,R25,T25,V25,X25,Z25,AB25,AD25,AF25)</f>
        <v>41988.499999999993</v>
      </c>
      <c r="E25" s="74">
        <f>J25+L25+N25+P25+R25+T25+V25+X25+Z25</f>
        <v>33387.606579999992</v>
      </c>
      <c r="F25" s="74">
        <f>G25</f>
        <v>30703.893779999999</v>
      </c>
      <c r="G25" s="74">
        <f>SUM(K25,M25,O25,Q25,S25,U25,W25,Y25,AA25,AC25,AE25,AG25)</f>
        <v>30703.893779999999</v>
      </c>
      <c r="H25" s="74">
        <f t="shared" si="17"/>
        <v>73.124531193064783</v>
      </c>
      <c r="I25" s="74">
        <f t="shared" si="18"/>
        <v>91.961949133521884</v>
      </c>
      <c r="J25" s="67">
        <v>6240.2985200000003</v>
      </c>
      <c r="K25" s="67">
        <v>2767.8380699999998</v>
      </c>
      <c r="L25" s="67">
        <v>5678.0733799999998</v>
      </c>
      <c r="M25" s="67">
        <v>5103.8298999999997</v>
      </c>
      <c r="N25" s="67">
        <v>2807.4114399999999</v>
      </c>
      <c r="O25" s="67">
        <v>3034.1422400000001</v>
      </c>
      <c r="P25" s="67">
        <v>3185.3745600000002</v>
      </c>
      <c r="Q25" s="67">
        <v>3774.7721900000001</v>
      </c>
      <c r="R25" s="67">
        <v>2858.9329299999999</v>
      </c>
      <c r="S25" s="67">
        <v>1855.2032400000001</v>
      </c>
      <c r="T25" s="67">
        <v>3265.6521200000002</v>
      </c>
      <c r="U25" s="67">
        <v>3722.6950299999999</v>
      </c>
      <c r="V25" s="67">
        <v>3170.4202500000001</v>
      </c>
      <c r="W25" s="67">
        <v>3083.6675399999999</v>
      </c>
      <c r="X25" s="67">
        <v>2868.5763299999999</v>
      </c>
      <c r="Y25" s="67">
        <v>3140.1251099999999</v>
      </c>
      <c r="Z25" s="67">
        <v>3312.8670499999998</v>
      </c>
      <c r="AA25" s="67">
        <v>4221.6204600000001</v>
      </c>
      <c r="AB25" s="67">
        <v>2698.1312699999999</v>
      </c>
      <c r="AC25" s="67">
        <v>0</v>
      </c>
      <c r="AD25" s="67">
        <v>2803.2162800000001</v>
      </c>
      <c r="AE25" s="67">
        <v>0</v>
      </c>
      <c r="AF25" s="158">
        <v>3099.5458699999999</v>
      </c>
      <c r="AG25" s="67">
        <v>0</v>
      </c>
      <c r="AH25" s="701"/>
      <c r="AI25" s="106"/>
    </row>
    <row r="26" spans="1:35" s="32" customFormat="1" ht="15.75" customHeight="1" x14ac:dyDescent="0.25">
      <c r="A26" s="135" t="s">
        <v>156</v>
      </c>
      <c r="B26" s="596" t="s">
        <v>32</v>
      </c>
      <c r="C26" s="597"/>
      <c r="D26" s="597"/>
      <c r="E26" s="597"/>
      <c r="F26" s="597"/>
      <c r="G26" s="597"/>
      <c r="H26" s="597"/>
      <c r="I26" s="597"/>
      <c r="J26" s="597"/>
      <c r="K26" s="597"/>
      <c r="L26" s="597"/>
      <c r="M26" s="597"/>
      <c r="N26" s="597"/>
      <c r="O26" s="597"/>
      <c r="P26" s="597"/>
      <c r="Q26" s="597"/>
      <c r="R26" s="597"/>
      <c r="S26" s="597"/>
      <c r="T26" s="597"/>
      <c r="U26" s="597"/>
      <c r="V26" s="597"/>
      <c r="W26" s="597"/>
      <c r="X26" s="597"/>
      <c r="Y26" s="597"/>
      <c r="Z26" s="597"/>
      <c r="AA26" s="597"/>
      <c r="AB26" s="597"/>
      <c r="AC26" s="597"/>
      <c r="AD26" s="597"/>
      <c r="AE26" s="597"/>
      <c r="AF26" s="597"/>
      <c r="AG26" s="598"/>
    </row>
    <row r="27" spans="1:35" s="21" customFormat="1" ht="53.25" customHeight="1" x14ac:dyDescent="0.25">
      <c r="A27" s="581" t="s">
        <v>157</v>
      </c>
      <c r="B27" s="533" t="s">
        <v>175</v>
      </c>
      <c r="C27" s="69" t="s">
        <v>20</v>
      </c>
      <c r="D27" s="70">
        <f>D28+D29</f>
        <v>501504.80400000006</v>
      </c>
      <c r="E27" s="70">
        <f t="shared" ref="E27:G27" si="20">E28+E29</f>
        <v>376352.17513000005</v>
      </c>
      <c r="F27" s="70">
        <f t="shared" si="20"/>
        <v>311365.30005999998</v>
      </c>
      <c r="G27" s="70">
        <f t="shared" si="20"/>
        <v>311365.30005999998</v>
      </c>
      <c r="H27" s="70">
        <f t="shared" ref="H27:H39" si="21">IFERROR(G27/D27*100,0)</f>
        <v>62.086204873124196</v>
      </c>
      <c r="I27" s="70">
        <f t="shared" ref="I27:I39" si="22">IFERROR(G27/E27*100,0)</f>
        <v>82.732430057684084</v>
      </c>
      <c r="J27" s="71">
        <f>J28</f>
        <v>26908.555619999999</v>
      </c>
      <c r="K27" s="71">
        <f>+K28</f>
        <v>17198.972430000002</v>
      </c>
      <c r="L27" s="71">
        <f>+L28</f>
        <v>44660.985119999998</v>
      </c>
      <c r="M27" s="71">
        <f>M28</f>
        <v>37535.166830000002</v>
      </c>
      <c r="N27" s="71">
        <f>N28</f>
        <v>40571.796019999994</v>
      </c>
      <c r="O27" s="71">
        <f t="shared" ref="O27:AG27" si="23">O28</f>
        <v>30195.611189999996</v>
      </c>
      <c r="P27" s="71">
        <f t="shared" si="23"/>
        <v>46838.42009</v>
      </c>
      <c r="Q27" s="71">
        <f t="shared" si="23"/>
        <v>37218.798760000005</v>
      </c>
      <c r="R27" s="71">
        <f t="shared" si="23"/>
        <v>42778.476580000002</v>
      </c>
      <c r="S27" s="71">
        <f t="shared" si="23"/>
        <v>38878.47855</v>
      </c>
      <c r="T27" s="71">
        <f t="shared" si="23"/>
        <v>43496.689780000001</v>
      </c>
      <c r="U27" s="71">
        <f t="shared" si="23"/>
        <v>37558.421770000001</v>
      </c>
      <c r="V27" s="71">
        <f t="shared" si="23"/>
        <v>44889.574200000003</v>
      </c>
      <c r="W27" s="71">
        <f t="shared" si="23"/>
        <v>44604.466400000005</v>
      </c>
      <c r="X27" s="71">
        <f t="shared" si="23"/>
        <v>44590.026879999998</v>
      </c>
      <c r="Y27" s="71">
        <f t="shared" si="23"/>
        <v>33386.890579999999</v>
      </c>
      <c r="Z27" s="71">
        <f t="shared" si="23"/>
        <v>36896.167840000002</v>
      </c>
      <c r="AA27" s="71">
        <f t="shared" si="23"/>
        <v>32920.306859999997</v>
      </c>
      <c r="AB27" s="71">
        <f t="shared" si="23"/>
        <v>39804.491389999996</v>
      </c>
      <c r="AC27" s="71">
        <f t="shared" si="23"/>
        <v>0</v>
      </c>
      <c r="AD27" s="71">
        <f t="shared" si="23"/>
        <v>35567.737560000001</v>
      </c>
      <c r="AE27" s="71">
        <f t="shared" si="23"/>
        <v>0</v>
      </c>
      <c r="AF27" s="71">
        <f t="shared" si="23"/>
        <v>48582.182919999999</v>
      </c>
      <c r="AG27" s="71">
        <f t="shared" si="23"/>
        <v>0</v>
      </c>
      <c r="AH27" s="462"/>
      <c r="AI27" s="20"/>
    </row>
    <row r="28" spans="1:35" s="22" customFormat="1" ht="45" customHeight="1" x14ac:dyDescent="0.25">
      <c r="A28" s="582"/>
      <c r="B28" s="534"/>
      <c r="C28" s="463" t="s">
        <v>21</v>
      </c>
      <c r="D28" s="74">
        <f t="shared" ref="D28:D29" si="24">SUM(J28,L28,N28,P28,R28,T28,V28,X28,Z28,AB28,AD28,AF28)</f>
        <v>495585.10400000005</v>
      </c>
      <c r="E28" s="74">
        <f>E31+E33+E37+E39</f>
        <v>371630.69213000004</v>
      </c>
      <c r="F28" s="74">
        <f t="shared" ref="F28:AG28" si="25">F31+F33+F37+F39</f>
        <v>309497.11336999998</v>
      </c>
      <c r="G28" s="74">
        <f t="shared" si="25"/>
        <v>309497.11336999998</v>
      </c>
      <c r="H28" s="74">
        <f t="shared" si="21"/>
        <v>62.450850695867558</v>
      </c>
      <c r="I28" s="74">
        <f t="shared" si="22"/>
        <v>83.280826886530363</v>
      </c>
      <c r="J28" s="74">
        <f t="shared" si="25"/>
        <v>26908.555619999999</v>
      </c>
      <c r="K28" s="74">
        <f t="shared" si="25"/>
        <v>17198.972430000002</v>
      </c>
      <c r="L28" s="74">
        <f t="shared" si="25"/>
        <v>44660.985119999998</v>
      </c>
      <c r="M28" s="74">
        <f t="shared" si="25"/>
        <v>37535.166830000002</v>
      </c>
      <c r="N28" s="74">
        <f t="shared" si="25"/>
        <v>40571.796019999994</v>
      </c>
      <c r="O28" s="74">
        <f t="shared" si="25"/>
        <v>30195.611189999996</v>
      </c>
      <c r="P28" s="74">
        <f>P31+P33+P37+P39</f>
        <v>46838.42009</v>
      </c>
      <c r="Q28" s="74">
        <f t="shared" si="25"/>
        <v>37218.798760000005</v>
      </c>
      <c r="R28" s="74">
        <f t="shared" si="25"/>
        <v>42778.476580000002</v>
      </c>
      <c r="S28" s="74">
        <f t="shared" si="25"/>
        <v>38878.47855</v>
      </c>
      <c r="T28" s="74">
        <f t="shared" si="25"/>
        <v>43496.689780000001</v>
      </c>
      <c r="U28" s="74">
        <f t="shared" si="25"/>
        <v>37558.421770000001</v>
      </c>
      <c r="V28" s="74">
        <f t="shared" si="25"/>
        <v>44889.574200000003</v>
      </c>
      <c r="W28" s="74">
        <f t="shared" si="25"/>
        <v>44604.466400000005</v>
      </c>
      <c r="X28" s="74">
        <f t="shared" si="25"/>
        <v>44590.026879999998</v>
      </c>
      <c r="Y28" s="74">
        <f t="shared" si="25"/>
        <v>33386.890579999999</v>
      </c>
      <c r="Z28" s="74">
        <f t="shared" si="25"/>
        <v>36896.167840000002</v>
      </c>
      <c r="AA28" s="74">
        <f t="shared" si="25"/>
        <v>32920.306859999997</v>
      </c>
      <c r="AB28" s="74">
        <f t="shared" si="25"/>
        <v>39804.491389999996</v>
      </c>
      <c r="AC28" s="74">
        <f t="shared" si="25"/>
        <v>0</v>
      </c>
      <c r="AD28" s="74">
        <f t="shared" si="25"/>
        <v>35567.737560000001</v>
      </c>
      <c r="AE28" s="74">
        <f t="shared" si="25"/>
        <v>0</v>
      </c>
      <c r="AF28" s="74">
        <f t="shared" si="25"/>
        <v>48582.182919999999</v>
      </c>
      <c r="AG28" s="74">
        <f t="shared" si="25"/>
        <v>0</v>
      </c>
      <c r="AH28" s="75"/>
      <c r="AI28" s="20"/>
    </row>
    <row r="29" spans="1:35" s="22" customFormat="1" ht="45" customHeight="1" x14ac:dyDescent="0.25">
      <c r="A29" s="583"/>
      <c r="B29" s="535"/>
      <c r="C29" s="112" t="s">
        <v>40</v>
      </c>
      <c r="D29" s="74">
        <f t="shared" si="24"/>
        <v>5919.7</v>
      </c>
      <c r="E29" s="74">
        <f>J29+L29+N29+P29+R29+T29+V29+X29+Z29</f>
        <v>4721.4830000000002</v>
      </c>
      <c r="F29" s="67">
        <f t="shared" ref="F29:G29" si="26">F35</f>
        <v>1868.18669</v>
      </c>
      <c r="G29" s="67">
        <f t="shared" si="26"/>
        <v>1868.18669</v>
      </c>
      <c r="H29" s="74">
        <f t="shared" si="21"/>
        <v>31.558806865212762</v>
      </c>
      <c r="I29" s="74">
        <f t="shared" si="22"/>
        <v>39.567794483216396</v>
      </c>
      <c r="J29" s="67">
        <f>J35</f>
        <v>451.09100000000001</v>
      </c>
      <c r="K29" s="67">
        <f t="shared" ref="K29:AG29" si="27">K35</f>
        <v>59.837299999999999</v>
      </c>
      <c r="L29" s="67">
        <f t="shared" si="27"/>
        <v>426.75599999999997</v>
      </c>
      <c r="M29" s="67">
        <f t="shared" si="27"/>
        <v>112.64922</v>
      </c>
      <c r="N29" s="67">
        <f t="shared" si="27"/>
        <v>569.71900000000005</v>
      </c>
      <c r="O29" s="67">
        <f t="shared" si="27"/>
        <v>181.76294999999999</v>
      </c>
      <c r="P29" s="67">
        <f t="shared" si="27"/>
        <v>503.77100000000002</v>
      </c>
      <c r="Q29" s="67">
        <f t="shared" si="27"/>
        <v>293.43322999999998</v>
      </c>
      <c r="R29" s="67">
        <f t="shared" si="27"/>
        <v>468.47300000000001</v>
      </c>
      <c r="S29" s="67">
        <f t="shared" si="27"/>
        <v>271.02265999999997</v>
      </c>
      <c r="T29" s="67">
        <f t="shared" si="27"/>
        <v>558.92499999999995</v>
      </c>
      <c r="U29" s="67">
        <f t="shared" si="27"/>
        <v>191.27968999999999</v>
      </c>
      <c r="V29" s="67">
        <f t="shared" si="27"/>
        <v>604.75099999999998</v>
      </c>
      <c r="W29" s="67">
        <f t="shared" si="27"/>
        <v>217.74019000000001</v>
      </c>
      <c r="X29" s="67">
        <f t="shared" si="27"/>
        <v>707.44600000000003</v>
      </c>
      <c r="Y29" s="67">
        <f t="shared" si="27"/>
        <v>219.64261999999999</v>
      </c>
      <c r="Z29" s="67">
        <f t="shared" si="27"/>
        <v>430.55099999999999</v>
      </c>
      <c r="AA29" s="67">
        <f t="shared" si="27"/>
        <v>320.81882999999999</v>
      </c>
      <c r="AB29" s="67">
        <f t="shared" si="27"/>
        <v>379.54300000000001</v>
      </c>
      <c r="AC29" s="67">
        <f t="shared" si="27"/>
        <v>0</v>
      </c>
      <c r="AD29" s="67">
        <f t="shared" si="27"/>
        <v>387.24599999999998</v>
      </c>
      <c r="AE29" s="67">
        <f t="shared" si="27"/>
        <v>0</v>
      </c>
      <c r="AF29" s="67">
        <f t="shared" si="27"/>
        <v>431.428</v>
      </c>
      <c r="AG29" s="67">
        <f t="shared" si="27"/>
        <v>0</v>
      </c>
      <c r="AH29" s="75"/>
      <c r="AI29" s="20"/>
    </row>
    <row r="30" spans="1:35" s="100" customFormat="1" ht="129" customHeight="1" x14ac:dyDescent="0.25">
      <c r="A30" s="610"/>
      <c r="B30" s="695" t="s">
        <v>176</v>
      </c>
      <c r="C30" s="69" t="s">
        <v>20</v>
      </c>
      <c r="D30" s="70">
        <f>D31</f>
        <v>167632.19999999998</v>
      </c>
      <c r="E30" s="70">
        <f t="shared" ref="E30:G38" si="28">E31</f>
        <v>127467.72672000001</v>
      </c>
      <c r="F30" s="70">
        <f t="shared" si="28"/>
        <v>118746.52401000002</v>
      </c>
      <c r="G30" s="70">
        <f t="shared" si="28"/>
        <v>118746.52401000002</v>
      </c>
      <c r="H30" s="70">
        <f t="shared" si="21"/>
        <v>70.837538378664746</v>
      </c>
      <c r="I30" s="70">
        <f t="shared" si="22"/>
        <v>93.158109166599274</v>
      </c>
      <c r="J30" s="71">
        <f t="shared" ref="J30:AG30" si="29">J31</f>
        <v>9821.5464200000006</v>
      </c>
      <c r="K30" s="71">
        <f t="shared" si="29"/>
        <v>8109.4545399999997</v>
      </c>
      <c r="L30" s="71">
        <f t="shared" si="29"/>
        <v>15969.50475</v>
      </c>
      <c r="M30" s="71">
        <f t="shared" si="29"/>
        <v>15447.667299999999</v>
      </c>
      <c r="N30" s="71">
        <f t="shared" si="29"/>
        <v>11410.0101</v>
      </c>
      <c r="O30" s="71">
        <f t="shared" si="29"/>
        <v>9980.2863699999998</v>
      </c>
      <c r="P30" s="71">
        <f t="shared" si="29"/>
        <v>16958.590189999999</v>
      </c>
      <c r="Q30" s="71">
        <f t="shared" si="29"/>
        <v>16204.4897</v>
      </c>
      <c r="R30" s="71">
        <f t="shared" si="29"/>
        <v>12631.401620000001</v>
      </c>
      <c r="S30" s="71">
        <f t="shared" si="29"/>
        <v>13883.198560000001</v>
      </c>
      <c r="T30" s="71">
        <f t="shared" si="29"/>
        <v>14574.0291</v>
      </c>
      <c r="U30" s="71">
        <f t="shared" si="29"/>
        <v>10287.003409999999</v>
      </c>
      <c r="V30" s="71">
        <f t="shared" si="29"/>
        <v>17534.789820000002</v>
      </c>
      <c r="W30" s="71">
        <f t="shared" si="29"/>
        <v>16485.689920000001</v>
      </c>
      <c r="X30" s="71">
        <f t="shared" si="29"/>
        <v>16633.088510000001</v>
      </c>
      <c r="Y30" s="71">
        <f t="shared" si="29"/>
        <v>13410.1422</v>
      </c>
      <c r="Z30" s="71">
        <f t="shared" si="29"/>
        <v>11934.76621</v>
      </c>
      <c r="AA30" s="71">
        <f t="shared" si="29"/>
        <v>14938.59201</v>
      </c>
      <c r="AB30" s="71">
        <f t="shared" si="29"/>
        <v>14206.648569999999</v>
      </c>
      <c r="AC30" s="71">
        <f t="shared" si="29"/>
        <v>0</v>
      </c>
      <c r="AD30" s="71">
        <f t="shared" si="29"/>
        <v>9865.7733100000005</v>
      </c>
      <c r="AE30" s="71">
        <f t="shared" si="29"/>
        <v>0</v>
      </c>
      <c r="AF30" s="71">
        <f t="shared" si="29"/>
        <v>16092.0514</v>
      </c>
      <c r="AG30" s="71">
        <f t="shared" si="29"/>
        <v>0</v>
      </c>
      <c r="AH30" s="699" t="s">
        <v>405</v>
      </c>
      <c r="AI30" s="106"/>
    </row>
    <row r="31" spans="1:35" s="33" customFormat="1" ht="129" customHeight="1" x14ac:dyDescent="0.25">
      <c r="A31" s="612"/>
      <c r="B31" s="697"/>
      <c r="C31" s="463" t="s">
        <v>21</v>
      </c>
      <c r="D31" s="74">
        <f>SUM(J31,L31,N31,P31,R31,T31,V31,X31,Z31,AB31,AD31,AF31)</f>
        <v>167632.19999999998</v>
      </c>
      <c r="E31" s="74">
        <f>J31+L31+N31+P31+R31+T31+V31+X31+Z31</f>
        <v>127467.72672000001</v>
      </c>
      <c r="F31" s="74">
        <f>G31</f>
        <v>118746.52401000002</v>
      </c>
      <c r="G31" s="74">
        <f>SUM(K31,M31,O31,Q31,S31,U31,W31,Y31,AA31,AC31,AE31,AG31)</f>
        <v>118746.52401000002</v>
      </c>
      <c r="H31" s="74">
        <f t="shared" si="21"/>
        <v>70.837538378664746</v>
      </c>
      <c r="I31" s="74">
        <f t="shared" si="22"/>
        <v>93.158109166599274</v>
      </c>
      <c r="J31" s="67">
        <v>9821.5464200000006</v>
      </c>
      <c r="K31" s="67">
        <v>8109.4545399999997</v>
      </c>
      <c r="L31" s="67">
        <v>15969.50475</v>
      </c>
      <c r="M31" s="67">
        <v>15447.667299999999</v>
      </c>
      <c r="N31" s="67">
        <v>11410.0101</v>
      </c>
      <c r="O31" s="67">
        <v>9980.2863699999998</v>
      </c>
      <c r="P31" s="67">
        <v>16958.590189999999</v>
      </c>
      <c r="Q31" s="67">
        <v>16204.4897</v>
      </c>
      <c r="R31" s="67">
        <v>12631.401620000001</v>
      </c>
      <c r="S31" s="67">
        <v>13883.198560000001</v>
      </c>
      <c r="T31" s="67">
        <v>14574.0291</v>
      </c>
      <c r="U31" s="67">
        <v>10287.003409999999</v>
      </c>
      <c r="V31" s="67">
        <v>17534.789820000002</v>
      </c>
      <c r="W31" s="67">
        <v>16485.689920000001</v>
      </c>
      <c r="X31" s="67">
        <v>16633.088510000001</v>
      </c>
      <c r="Y31" s="67">
        <v>13410.1422</v>
      </c>
      <c r="Z31" s="67">
        <v>11934.76621</v>
      </c>
      <c r="AA31" s="67">
        <v>14938.59201</v>
      </c>
      <c r="AB31" s="67">
        <v>14206.648569999999</v>
      </c>
      <c r="AC31" s="67">
        <v>0</v>
      </c>
      <c r="AD31" s="67">
        <v>9865.7733100000005</v>
      </c>
      <c r="AE31" s="67">
        <v>0</v>
      </c>
      <c r="AF31" s="67">
        <v>16092.0514</v>
      </c>
      <c r="AG31" s="67">
        <v>0</v>
      </c>
      <c r="AH31" s="701"/>
      <c r="AI31" s="106"/>
    </row>
    <row r="32" spans="1:35" s="100" customFormat="1" ht="35.25" customHeight="1" x14ac:dyDescent="0.25">
      <c r="A32" s="706"/>
      <c r="B32" s="695" t="s">
        <v>177</v>
      </c>
      <c r="C32" s="69" t="s">
        <v>20</v>
      </c>
      <c r="D32" s="70">
        <f>SUM(D33:D35)</f>
        <v>91756.4</v>
      </c>
      <c r="E32" s="70">
        <f t="shared" ref="E32:G32" si="30">SUM(E33:E35)</f>
        <v>74198.494000000006</v>
      </c>
      <c r="F32" s="70">
        <f t="shared" si="30"/>
        <v>63744.809269999998</v>
      </c>
      <c r="G32" s="70">
        <f t="shared" si="30"/>
        <v>63744.809269999998</v>
      </c>
      <c r="H32" s="70">
        <f t="shared" si="21"/>
        <v>69.471785368650046</v>
      </c>
      <c r="I32" s="70">
        <f t="shared" si="22"/>
        <v>85.911190151649166</v>
      </c>
      <c r="J32" s="71">
        <f>SUM(J33:J35)</f>
        <v>6976.9530000000004</v>
      </c>
      <c r="K32" s="71">
        <f t="shared" ref="K32:AG32" si="31">SUM(K33:K35)</f>
        <v>4841.8927100000001</v>
      </c>
      <c r="L32" s="71">
        <f t="shared" si="31"/>
        <v>9601.6389999999992</v>
      </c>
      <c r="M32" s="71">
        <f t="shared" si="31"/>
        <v>7281.5222199999998</v>
      </c>
      <c r="N32" s="71">
        <f t="shared" si="31"/>
        <v>8170.3550000000005</v>
      </c>
      <c r="O32" s="71">
        <f t="shared" si="31"/>
        <v>7576.0594500000007</v>
      </c>
      <c r="P32" s="71">
        <f t="shared" si="31"/>
        <v>8419.9940000000006</v>
      </c>
      <c r="Q32" s="71">
        <f t="shared" si="31"/>
        <v>7427.5041099999999</v>
      </c>
      <c r="R32" s="71">
        <f t="shared" si="31"/>
        <v>8748.4349999999995</v>
      </c>
      <c r="S32" s="71">
        <f t="shared" si="31"/>
        <v>7771.0767999999998</v>
      </c>
      <c r="T32" s="71">
        <f t="shared" si="31"/>
        <v>8875.7129999999997</v>
      </c>
      <c r="U32" s="71">
        <f t="shared" si="31"/>
        <v>7741.35473</v>
      </c>
      <c r="V32" s="71">
        <f t="shared" si="31"/>
        <v>8507.4589999999989</v>
      </c>
      <c r="W32" s="71">
        <f t="shared" si="31"/>
        <v>8409.50317</v>
      </c>
      <c r="X32" s="71">
        <f t="shared" si="31"/>
        <v>9200.1849999999995</v>
      </c>
      <c r="Y32" s="71">
        <f t="shared" si="31"/>
        <v>6952.9791299999997</v>
      </c>
      <c r="Z32" s="71">
        <f t="shared" si="31"/>
        <v>5697.7610000000004</v>
      </c>
      <c r="AA32" s="71">
        <f t="shared" si="31"/>
        <v>5742.9169499999998</v>
      </c>
      <c r="AB32" s="71">
        <f t="shared" si="31"/>
        <v>6149.8329999999996</v>
      </c>
      <c r="AC32" s="71">
        <f t="shared" si="31"/>
        <v>0</v>
      </c>
      <c r="AD32" s="71">
        <f t="shared" si="31"/>
        <v>5531.6660000000002</v>
      </c>
      <c r="AE32" s="71">
        <f t="shared" si="31"/>
        <v>0</v>
      </c>
      <c r="AF32" s="71">
        <f t="shared" si="31"/>
        <v>5876.4070000000002</v>
      </c>
      <c r="AG32" s="71">
        <f t="shared" si="31"/>
        <v>0</v>
      </c>
      <c r="AH32" s="324"/>
      <c r="AI32" s="106"/>
    </row>
    <row r="33" spans="1:35" s="33" customFormat="1" ht="200.25" customHeight="1" x14ac:dyDescent="0.25">
      <c r="A33" s="707"/>
      <c r="B33" s="696"/>
      <c r="C33" s="695" t="s">
        <v>21</v>
      </c>
      <c r="D33" s="709">
        <f>SUM(J33,L33,N33,P33,R33,T33,V33,X33,Z33,AB33,AD33,AF33)</f>
        <v>85836.7</v>
      </c>
      <c r="E33" s="709">
        <f>J33+L33+N33+P33+R33+T33+V33+X33+Z33</f>
        <v>69477.010999999999</v>
      </c>
      <c r="F33" s="709">
        <f>G33</f>
        <v>61876.622579999996</v>
      </c>
      <c r="G33" s="709">
        <f>SUM(K33,M33,O33,Q33,S33,U33,W33,Y33,AA33,AC33,AE33,AG33)</f>
        <v>61876.622579999996</v>
      </c>
      <c r="H33" s="709">
        <v>40.35509670303324</v>
      </c>
      <c r="I33" s="709">
        <f t="shared" si="22"/>
        <v>89.060570812408727</v>
      </c>
      <c r="J33" s="704">
        <v>6525.8620000000001</v>
      </c>
      <c r="K33" s="704">
        <v>4782.0554099999999</v>
      </c>
      <c r="L33" s="704">
        <v>9174.8829999999998</v>
      </c>
      <c r="M33" s="704">
        <v>7168.8729999999996</v>
      </c>
      <c r="N33" s="704">
        <v>7600.6360000000004</v>
      </c>
      <c r="O33" s="704">
        <v>7394.2965000000004</v>
      </c>
      <c r="P33" s="704">
        <v>7916.223</v>
      </c>
      <c r="Q33" s="704">
        <v>7134.0708800000002</v>
      </c>
      <c r="R33" s="704">
        <v>8279.9619999999995</v>
      </c>
      <c r="S33" s="704">
        <v>7500.0541400000002</v>
      </c>
      <c r="T33" s="704">
        <v>8316.7880000000005</v>
      </c>
      <c r="U33" s="704">
        <v>7550.0750399999997</v>
      </c>
      <c r="V33" s="704">
        <v>7902.7079999999996</v>
      </c>
      <c r="W33" s="704">
        <v>8191.7629800000004</v>
      </c>
      <c r="X33" s="704">
        <v>8492.7389999999996</v>
      </c>
      <c r="Y33" s="704">
        <v>6733.3365100000001</v>
      </c>
      <c r="Z33" s="704">
        <v>5267.21</v>
      </c>
      <c r="AA33" s="704">
        <v>5422.0981199999997</v>
      </c>
      <c r="AB33" s="704">
        <v>5770.29</v>
      </c>
      <c r="AC33" s="704">
        <v>0</v>
      </c>
      <c r="AD33" s="704">
        <v>5144.42</v>
      </c>
      <c r="AE33" s="704">
        <v>0</v>
      </c>
      <c r="AF33" s="704">
        <v>5444.9790000000003</v>
      </c>
      <c r="AG33" s="704">
        <v>0</v>
      </c>
      <c r="AH33" s="699" t="s">
        <v>406</v>
      </c>
      <c r="AI33" s="106"/>
    </row>
    <row r="34" spans="1:35" s="33" customFormat="1" ht="108" customHeight="1" x14ac:dyDescent="0.25">
      <c r="A34" s="707"/>
      <c r="B34" s="696"/>
      <c r="C34" s="697"/>
      <c r="D34" s="710"/>
      <c r="E34" s="710"/>
      <c r="F34" s="710"/>
      <c r="G34" s="710"/>
      <c r="H34" s="710"/>
      <c r="I34" s="710"/>
      <c r="J34" s="705"/>
      <c r="K34" s="705"/>
      <c r="L34" s="705"/>
      <c r="M34" s="705"/>
      <c r="N34" s="705"/>
      <c r="O34" s="705"/>
      <c r="P34" s="705"/>
      <c r="Q34" s="705"/>
      <c r="R34" s="705"/>
      <c r="S34" s="705"/>
      <c r="T34" s="705"/>
      <c r="U34" s="705"/>
      <c r="V34" s="705"/>
      <c r="W34" s="705"/>
      <c r="X34" s="705"/>
      <c r="Y34" s="705"/>
      <c r="Z34" s="705"/>
      <c r="AA34" s="705"/>
      <c r="AB34" s="705"/>
      <c r="AC34" s="705"/>
      <c r="AD34" s="705"/>
      <c r="AE34" s="705"/>
      <c r="AF34" s="705"/>
      <c r="AG34" s="705"/>
      <c r="AH34" s="701"/>
      <c r="AI34" s="106"/>
    </row>
    <row r="35" spans="1:35" s="33" customFormat="1" ht="240" customHeight="1" x14ac:dyDescent="0.25">
      <c r="A35" s="708"/>
      <c r="B35" s="697"/>
      <c r="C35" s="463" t="s">
        <v>40</v>
      </c>
      <c r="D35" s="74">
        <f>SUM(J35,L35,N35,P35,R35,T35,V35,X35,Z35,AB35,AD35,AF35)</f>
        <v>5919.7</v>
      </c>
      <c r="E35" s="74">
        <f>J35+L35+N35+P35+R35+T35+V35+X35+Z35</f>
        <v>4721.4830000000002</v>
      </c>
      <c r="F35" s="74">
        <f>G35</f>
        <v>1868.18669</v>
      </c>
      <c r="G35" s="74">
        <f>SUM(K35,M35,O35,Q35,S35,U35,W35,Y35,AA35,AC35,AE35,AG35)</f>
        <v>1868.18669</v>
      </c>
      <c r="H35" s="74">
        <f t="shared" si="21"/>
        <v>31.558806865212762</v>
      </c>
      <c r="I35" s="74">
        <f t="shared" ref="I35" si="32">IFERROR(G35/E35*100,0)</f>
        <v>39.567794483216396</v>
      </c>
      <c r="J35" s="67">
        <v>451.09100000000001</v>
      </c>
      <c r="K35" s="67">
        <v>59.837299999999999</v>
      </c>
      <c r="L35" s="67">
        <v>426.75599999999997</v>
      </c>
      <c r="M35" s="67">
        <v>112.64922</v>
      </c>
      <c r="N35" s="67">
        <v>569.71900000000005</v>
      </c>
      <c r="O35" s="67">
        <v>181.76294999999999</v>
      </c>
      <c r="P35" s="67">
        <v>503.77100000000002</v>
      </c>
      <c r="Q35" s="67">
        <v>293.43322999999998</v>
      </c>
      <c r="R35" s="67">
        <v>468.47300000000001</v>
      </c>
      <c r="S35" s="67">
        <v>271.02265999999997</v>
      </c>
      <c r="T35" s="67">
        <v>558.92499999999995</v>
      </c>
      <c r="U35" s="67">
        <v>191.27968999999999</v>
      </c>
      <c r="V35" s="67">
        <v>604.75099999999998</v>
      </c>
      <c r="W35" s="67">
        <v>217.74019000000001</v>
      </c>
      <c r="X35" s="67">
        <v>707.44600000000003</v>
      </c>
      <c r="Y35" s="67">
        <v>219.64261999999999</v>
      </c>
      <c r="Z35" s="67">
        <v>430.55099999999999</v>
      </c>
      <c r="AA35" s="67">
        <v>320.81882999999999</v>
      </c>
      <c r="AB35" s="67">
        <v>379.54300000000001</v>
      </c>
      <c r="AC35" s="67">
        <v>0</v>
      </c>
      <c r="AD35" s="67">
        <v>387.24599999999998</v>
      </c>
      <c r="AE35" s="67">
        <v>0</v>
      </c>
      <c r="AF35" s="67">
        <v>431.428</v>
      </c>
      <c r="AG35" s="67">
        <v>0</v>
      </c>
      <c r="AH35" s="75" t="s">
        <v>407</v>
      </c>
      <c r="AI35" s="106"/>
    </row>
    <row r="36" spans="1:35" s="100" customFormat="1" ht="35.25" customHeight="1" x14ac:dyDescent="0.25">
      <c r="A36" s="610"/>
      <c r="B36" s="695" t="s">
        <v>178</v>
      </c>
      <c r="C36" s="69" t="s">
        <v>20</v>
      </c>
      <c r="D36" s="70">
        <f>D37</f>
        <v>222270.90400000001</v>
      </c>
      <c r="E36" s="70">
        <f t="shared" si="28"/>
        <v>160448.52681000001</v>
      </c>
      <c r="F36" s="70">
        <f t="shared" si="28"/>
        <v>125867.34533</v>
      </c>
      <c r="G36" s="70">
        <f t="shared" si="28"/>
        <v>125867.34533</v>
      </c>
      <c r="H36" s="70">
        <f t="shared" si="21"/>
        <v>56.627900037694531</v>
      </c>
      <c r="I36" s="70">
        <f t="shared" si="22"/>
        <v>78.447180433790848</v>
      </c>
      <c r="J36" s="71">
        <f t="shared" ref="J36:AG36" si="33">J37</f>
        <v>10561.147199999999</v>
      </c>
      <c r="K36" s="71">
        <f t="shared" si="33"/>
        <v>4307.4624800000001</v>
      </c>
      <c r="L36" s="71">
        <f t="shared" si="33"/>
        <v>19516.59737</v>
      </c>
      <c r="M36" s="71">
        <f t="shared" si="33"/>
        <v>14918.62653</v>
      </c>
      <c r="N36" s="71">
        <f t="shared" si="33"/>
        <v>19314.02852</v>
      </c>
      <c r="O36" s="71">
        <f t="shared" si="33"/>
        <v>12821.028319999999</v>
      </c>
      <c r="P36" s="71">
        <f t="shared" si="33"/>
        <v>19928.671900000001</v>
      </c>
      <c r="Q36" s="71">
        <f t="shared" si="33"/>
        <v>13880.23818</v>
      </c>
      <c r="R36" s="71">
        <f t="shared" si="33"/>
        <v>19851.77896</v>
      </c>
      <c r="S36" s="71">
        <f t="shared" si="33"/>
        <v>17495.225849999999</v>
      </c>
      <c r="T36" s="71">
        <f t="shared" si="33"/>
        <v>18676.40768</v>
      </c>
      <c r="U36" s="71">
        <f t="shared" si="33"/>
        <v>19514.909380000001</v>
      </c>
      <c r="V36" s="71">
        <f t="shared" si="33"/>
        <v>17361.882180000001</v>
      </c>
      <c r="W36" s="71">
        <f t="shared" si="33"/>
        <v>18961.730479999998</v>
      </c>
      <c r="X36" s="71">
        <f t="shared" si="33"/>
        <v>17611.485369999999</v>
      </c>
      <c r="Y36" s="71">
        <f t="shared" si="33"/>
        <v>12503.490239999999</v>
      </c>
      <c r="Z36" s="71">
        <f t="shared" si="33"/>
        <v>17626.52763</v>
      </c>
      <c r="AA36" s="71">
        <f t="shared" si="33"/>
        <v>11464.63387</v>
      </c>
      <c r="AB36" s="71">
        <f t="shared" si="33"/>
        <v>17688.88882</v>
      </c>
      <c r="AC36" s="71">
        <f t="shared" si="33"/>
        <v>0</v>
      </c>
      <c r="AD36" s="71">
        <f t="shared" si="33"/>
        <v>18525.563050000001</v>
      </c>
      <c r="AE36" s="71">
        <f t="shared" si="33"/>
        <v>0</v>
      </c>
      <c r="AF36" s="71">
        <f t="shared" si="33"/>
        <v>25607.925319999998</v>
      </c>
      <c r="AG36" s="71">
        <f t="shared" si="33"/>
        <v>0</v>
      </c>
      <c r="AH36" s="699" t="s">
        <v>378</v>
      </c>
      <c r="AI36" s="106"/>
    </row>
    <row r="37" spans="1:35" s="33" customFormat="1" ht="42" customHeight="1" x14ac:dyDescent="0.25">
      <c r="A37" s="612"/>
      <c r="B37" s="697"/>
      <c r="C37" s="463" t="s">
        <v>21</v>
      </c>
      <c r="D37" s="74">
        <f>SUM(J37,L37,N37,P37,R37,T37,V37,X37,Z37,AB37,AD37,AF37)</f>
        <v>222270.90400000001</v>
      </c>
      <c r="E37" s="74">
        <f>J37+L37+N37+P37+R37+T37+V37+X37+Z37</f>
        <v>160448.52681000001</v>
      </c>
      <c r="F37" s="74">
        <f>G37</f>
        <v>125867.34533</v>
      </c>
      <c r="G37" s="74">
        <f>SUM(K37,M37,O37,Q37,S37,U37,W37,Y37,AA37,AC37,AE37,AG37)</f>
        <v>125867.34533</v>
      </c>
      <c r="H37" s="74">
        <f t="shared" si="21"/>
        <v>56.627900037694531</v>
      </c>
      <c r="I37" s="74">
        <f t="shared" si="22"/>
        <v>78.447180433790848</v>
      </c>
      <c r="J37" s="67">
        <v>10561.147199999999</v>
      </c>
      <c r="K37" s="67">
        <v>4307.4624800000001</v>
      </c>
      <c r="L37" s="67">
        <v>19516.59737</v>
      </c>
      <c r="M37" s="67">
        <v>14918.62653</v>
      </c>
      <c r="N37" s="67">
        <v>19314.02852</v>
      </c>
      <c r="O37" s="67">
        <v>12821.028319999999</v>
      </c>
      <c r="P37" s="67">
        <v>19928.671900000001</v>
      </c>
      <c r="Q37" s="67">
        <v>13880.23818</v>
      </c>
      <c r="R37" s="67">
        <v>19851.77896</v>
      </c>
      <c r="S37" s="67">
        <f>17245.5193+249.70655</f>
        <v>17495.225849999999</v>
      </c>
      <c r="T37" s="67">
        <v>18676.40768</v>
      </c>
      <c r="U37" s="67">
        <v>19514.909380000001</v>
      </c>
      <c r="V37" s="67">
        <v>17361.882180000001</v>
      </c>
      <c r="W37" s="67">
        <v>18961.730479999998</v>
      </c>
      <c r="X37" s="67">
        <v>17611.485369999999</v>
      </c>
      <c r="Y37" s="67">
        <v>12503.490239999999</v>
      </c>
      <c r="Z37" s="67">
        <v>17626.52763</v>
      </c>
      <c r="AA37" s="67">
        <v>11464.63387</v>
      </c>
      <c r="AB37" s="67">
        <v>17688.88882</v>
      </c>
      <c r="AC37" s="67">
        <v>0</v>
      </c>
      <c r="AD37" s="67">
        <v>18525.563050000001</v>
      </c>
      <c r="AE37" s="67">
        <v>0</v>
      </c>
      <c r="AF37" s="67">
        <v>25607.925319999998</v>
      </c>
      <c r="AG37" s="67">
        <v>0</v>
      </c>
      <c r="AH37" s="701"/>
      <c r="AI37" s="106"/>
    </row>
    <row r="38" spans="1:35" s="100" customFormat="1" ht="35.25" customHeight="1" x14ac:dyDescent="0.25">
      <c r="A38" s="610"/>
      <c r="B38" s="695" t="s">
        <v>179</v>
      </c>
      <c r="C38" s="69" t="s">
        <v>20</v>
      </c>
      <c r="D38" s="70">
        <f>D39</f>
        <v>19845.3</v>
      </c>
      <c r="E38" s="70">
        <f t="shared" si="28"/>
        <v>14237.427599999999</v>
      </c>
      <c r="F38" s="70">
        <f t="shared" si="28"/>
        <v>3006.6214500000001</v>
      </c>
      <c r="G38" s="70">
        <f t="shared" si="28"/>
        <v>3006.6214500000001</v>
      </c>
      <c r="H38" s="70">
        <f t="shared" si="21"/>
        <v>15.150294780124263</v>
      </c>
      <c r="I38" s="70">
        <f t="shared" si="22"/>
        <v>21.117729511755343</v>
      </c>
      <c r="J38" s="71">
        <f t="shared" ref="J38:AG38" si="34">J39</f>
        <v>0</v>
      </c>
      <c r="K38" s="71">
        <f t="shared" si="34"/>
        <v>0</v>
      </c>
      <c r="L38" s="71">
        <f t="shared" si="34"/>
        <v>0</v>
      </c>
      <c r="M38" s="71">
        <f t="shared" si="34"/>
        <v>0</v>
      </c>
      <c r="N38" s="71">
        <f t="shared" si="34"/>
        <v>2247.1214</v>
      </c>
      <c r="O38" s="71">
        <f t="shared" si="34"/>
        <v>0</v>
      </c>
      <c r="P38" s="71">
        <f t="shared" si="34"/>
        <v>2034.9349999999999</v>
      </c>
      <c r="Q38" s="71">
        <f t="shared" si="34"/>
        <v>0</v>
      </c>
      <c r="R38" s="71">
        <f t="shared" si="34"/>
        <v>2015.3340000000001</v>
      </c>
      <c r="S38" s="71">
        <f t="shared" si="34"/>
        <v>0</v>
      </c>
      <c r="T38" s="71">
        <f t="shared" si="34"/>
        <v>1929.4649999999999</v>
      </c>
      <c r="U38" s="71">
        <f t="shared" si="34"/>
        <v>206.43394000000001</v>
      </c>
      <c r="V38" s="71">
        <f t="shared" si="34"/>
        <v>2090.1941999999999</v>
      </c>
      <c r="W38" s="71">
        <f t="shared" si="34"/>
        <v>965.28301999999996</v>
      </c>
      <c r="X38" s="71">
        <f t="shared" si="34"/>
        <v>1852.7139999999999</v>
      </c>
      <c r="Y38" s="71">
        <f t="shared" si="34"/>
        <v>739.92163000000005</v>
      </c>
      <c r="Z38" s="71">
        <f t="shared" si="34"/>
        <v>2067.6640000000002</v>
      </c>
      <c r="AA38" s="71">
        <f t="shared" si="34"/>
        <v>1094.9828600000001</v>
      </c>
      <c r="AB38" s="71">
        <f t="shared" si="34"/>
        <v>2138.6640000000002</v>
      </c>
      <c r="AC38" s="71">
        <f t="shared" si="34"/>
        <v>0</v>
      </c>
      <c r="AD38" s="71">
        <f t="shared" si="34"/>
        <v>2031.9811999999999</v>
      </c>
      <c r="AE38" s="71">
        <f t="shared" si="34"/>
        <v>0</v>
      </c>
      <c r="AF38" s="71">
        <f t="shared" si="34"/>
        <v>1437.2272</v>
      </c>
      <c r="AG38" s="71">
        <f t="shared" si="34"/>
        <v>0</v>
      </c>
      <c r="AH38" s="699" t="s">
        <v>348</v>
      </c>
      <c r="AI38" s="106"/>
    </row>
    <row r="39" spans="1:35" s="33" customFormat="1" ht="42" customHeight="1" x14ac:dyDescent="0.25">
      <c r="A39" s="612"/>
      <c r="B39" s="697"/>
      <c r="C39" s="463" t="s">
        <v>21</v>
      </c>
      <c r="D39" s="74">
        <f>SUM(J39,L39,N39,P39,R39,T39,V39,X39,Z39,AB39,AD39,AF39)</f>
        <v>19845.3</v>
      </c>
      <c r="E39" s="74">
        <f>J39+L39+N39+P39+R39+T39+V39+X39+Z39</f>
        <v>14237.427599999999</v>
      </c>
      <c r="F39" s="74">
        <f>G39</f>
        <v>3006.6214500000001</v>
      </c>
      <c r="G39" s="74">
        <f>SUM(K39,M39,O39,Q39,S39,U39,W39,Y39,AA39,AC39,AE39,AG39)</f>
        <v>3006.6214500000001</v>
      </c>
      <c r="H39" s="74">
        <f t="shared" si="21"/>
        <v>15.150294780124263</v>
      </c>
      <c r="I39" s="74">
        <f t="shared" si="22"/>
        <v>21.117729511755343</v>
      </c>
      <c r="J39" s="67">
        <v>0</v>
      </c>
      <c r="K39" s="67">
        <v>0</v>
      </c>
      <c r="L39" s="67">
        <v>0</v>
      </c>
      <c r="M39" s="67">
        <v>0</v>
      </c>
      <c r="N39" s="67">
        <v>2247.1214</v>
      </c>
      <c r="O39" s="67">
        <v>0</v>
      </c>
      <c r="P39" s="67">
        <v>2034.9349999999999</v>
      </c>
      <c r="Q39" s="67">
        <v>0</v>
      </c>
      <c r="R39" s="67">
        <v>2015.3340000000001</v>
      </c>
      <c r="S39" s="67">
        <v>0</v>
      </c>
      <c r="T39" s="67">
        <v>1929.4649999999999</v>
      </c>
      <c r="U39" s="67">
        <v>206.43394000000001</v>
      </c>
      <c r="V39" s="67">
        <v>2090.1941999999999</v>
      </c>
      <c r="W39" s="67">
        <v>965.28301999999996</v>
      </c>
      <c r="X39" s="67">
        <v>1852.7139999999999</v>
      </c>
      <c r="Y39" s="67">
        <v>739.92163000000005</v>
      </c>
      <c r="Z39" s="67">
        <v>2067.6640000000002</v>
      </c>
      <c r="AA39" s="67">
        <v>1094.9828600000001</v>
      </c>
      <c r="AB39" s="67">
        <v>2138.6640000000002</v>
      </c>
      <c r="AC39" s="67">
        <v>0</v>
      </c>
      <c r="AD39" s="67">
        <v>2031.9811999999999</v>
      </c>
      <c r="AE39" s="67">
        <v>0</v>
      </c>
      <c r="AF39" s="67">
        <v>1437.2272</v>
      </c>
      <c r="AG39" s="67">
        <v>0</v>
      </c>
      <c r="AH39" s="701"/>
      <c r="AI39" s="106"/>
    </row>
    <row r="40" spans="1:35" x14ac:dyDescent="0.25">
      <c r="B40" s="130"/>
      <c r="C40" s="325"/>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row>
    <row r="41" spans="1:35" ht="15.75" x14ac:dyDescent="0.25">
      <c r="B41" s="41" t="s">
        <v>379</v>
      </c>
      <c r="C41" s="325"/>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row>
    <row r="42" spans="1:35" ht="15.75" x14ac:dyDescent="0.25">
      <c r="B42" s="41" t="s">
        <v>380</v>
      </c>
      <c r="C42" s="325"/>
      <c r="D42" s="326"/>
      <c r="E42" s="326"/>
      <c r="F42" s="326"/>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row>
    <row r="43" spans="1:35" ht="15.75" x14ac:dyDescent="0.25">
      <c r="B43" s="41"/>
      <c r="C43" s="325"/>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row>
    <row r="44" spans="1:35" x14ac:dyDescent="0.25">
      <c r="B44" s="130"/>
      <c r="C44" s="325"/>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row>
    <row r="45" spans="1:35" x14ac:dyDescent="0.25">
      <c r="B45" s="130"/>
      <c r="C45" s="325"/>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row>
    <row r="46" spans="1:35" x14ac:dyDescent="0.25">
      <c r="B46" s="130"/>
      <c r="C46" s="325"/>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row>
    <row r="47" spans="1:35" x14ac:dyDescent="0.25">
      <c r="B47" s="130"/>
      <c r="C47" s="325"/>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row>
    <row r="48" spans="1:35" x14ac:dyDescent="0.25">
      <c r="B48" s="130"/>
      <c r="C48" s="325"/>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row>
    <row r="49" spans="2:34" x14ac:dyDescent="0.25">
      <c r="B49" s="130"/>
      <c r="C49" s="325"/>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row>
    <row r="50" spans="2:34" x14ac:dyDescent="0.25">
      <c r="B50" s="130"/>
      <c r="C50" s="325"/>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row>
    <row r="51" spans="2:34" x14ac:dyDescent="0.25">
      <c r="B51" s="130"/>
      <c r="C51" s="325"/>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row>
    <row r="52" spans="2:34" x14ac:dyDescent="0.25">
      <c r="B52" s="130"/>
      <c r="C52" s="325"/>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row>
    <row r="53" spans="2:34" x14ac:dyDescent="0.25">
      <c r="B53" s="130"/>
      <c r="C53" s="325"/>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row>
    <row r="54" spans="2:34" x14ac:dyDescent="0.25">
      <c r="B54" s="130"/>
      <c r="C54" s="325"/>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row>
    <row r="55" spans="2:34" x14ac:dyDescent="0.25">
      <c r="B55" s="130"/>
      <c r="C55" s="325"/>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row>
    <row r="56" spans="2:34" x14ac:dyDescent="0.25">
      <c r="B56" s="130"/>
      <c r="C56" s="325"/>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row>
    <row r="57" spans="2:34" x14ac:dyDescent="0.25">
      <c r="B57" s="130"/>
      <c r="C57" s="325"/>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row>
    <row r="58" spans="2:34" x14ac:dyDescent="0.25">
      <c r="B58" s="130"/>
      <c r="C58" s="325"/>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row>
    <row r="59" spans="2:34" x14ac:dyDescent="0.25">
      <c r="B59" s="130"/>
      <c r="C59" s="325"/>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row>
    <row r="60" spans="2:34" x14ac:dyDescent="0.25">
      <c r="B60" s="130"/>
      <c r="C60" s="325"/>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row>
    <row r="61" spans="2:34" x14ac:dyDescent="0.25">
      <c r="B61" s="130"/>
      <c r="C61" s="325"/>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row>
    <row r="62" spans="2:34" x14ac:dyDescent="0.25">
      <c r="B62" s="130"/>
      <c r="C62" s="325"/>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row>
    <row r="63" spans="2:34" x14ac:dyDescent="0.25">
      <c r="B63" s="130"/>
      <c r="C63" s="325"/>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row>
    <row r="64" spans="2:34" x14ac:dyDescent="0.25">
      <c r="B64" s="130"/>
      <c r="C64" s="325"/>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row>
    <row r="65" spans="2:33" x14ac:dyDescent="0.25">
      <c r="B65" s="130"/>
      <c r="C65" s="325"/>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row>
    <row r="66" spans="2:33" x14ac:dyDescent="0.25">
      <c r="B66" s="130"/>
      <c r="C66" s="325"/>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row>
    <row r="67" spans="2:33" x14ac:dyDescent="0.25">
      <c r="B67" s="130"/>
      <c r="C67" s="325"/>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row>
    <row r="68" spans="2:33" x14ac:dyDescent="0.25">
      <c r="B68" s="130"/>
      <c r="C68" s="325"/>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row>
    <row r="69" spans="2:33" x14ac:dyDescent="0.25">
      <c r="B69" s="130"/>
      <c r="C69" s="325"/>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row>
    <row r="70" spans="2:33" x14ac:dyDescent="0.25">
      <c r="B70" s="130"/>
      <c r="C70" s="325"/>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row>
    <row r="71" spans="2:33" x14ac:dyDescent="0.25">
      <c r="B71" s="130"/>
      <c r="C71" s="325"/>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row>
    <row r="72" spans="2:33" x14ac:dyDescent="0.25">
      <c r="B72" s="130"/>
      <c r="C72" s="325"/>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row>
    <row r="73" spans="2:33" x14ac:dyDescent="0.25">
      <c r="B73" s="130"/>
      <c r="C73" s="325"/>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row>
    <row r="74" spans="2:33" x14ac:dyDescent="0.25">
      <c r="B74" s="130"/>
      <c r="C74" s="325"/>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row>
    <row r="75" spans="2:33" x14ac:dyDescent="0.25">
      <c r="B75" s="130"/>
      <c r="C75" s="325"/>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row>
    <row r="76" spans="2:33" x14ac:dyDescent="0.25">
      <c r="B76" s="130"/>
      <c r="C76" s="325"/>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row>
    <row r="77" spans="2:33" x14ac:dyDescent="0.25">
      <c r="B77" s="130"/>
      <c r="C77" s="325"/>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row>
    <row r="78" spans="2:33" x14ac:dyDescent="0.25">
      <c r="B78" s="130"/>
      <c r="C78" s="325"/>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row>
    <row r="79" spans="2:33" x14ac:dyDescent="0.25">
      <c r="B79" s="130"/>
      <c r="C79" s="325"/>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row>
    <row r="80" spans="2:33" x14ac:dyDescent="0.25">
      <c r="B80" s="130"/>
      <c r="C80" s="325"/>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row>
  </sheetData>
  <customSheetViews>
    <customSheetView guid="{133BB3F8-8DD4-4AEF-8CD6-A5FB14681329}" scale="50" showPageBreaks="1" fitToPage="1" state="hidden" view="pageBreakPreview" topLeftCell="I23">
      <selection activeCell="F6" sqref="F6"/>
      <pageMargins left="0.70866141732283472" right="0.70866141732283472" top="0.74803149606299213" bottom="0.74803149606299213" header="0.31496062992125984" footer="0.31496062992125984"/>
      <pageSetup paperSize="9" scale="16" orientation="landscape" r:id="rId1"/>
    </customSheetView>
    <customSheetView guid="{7C5A2A36-3D69-43D9-9018-A52C27EC78F9}"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2"/>
    </customSheetView>
    <customSheetView guid="{2A5A11D4-90C6-4A3E-8165-7D7BD634B22F}"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3"/>
    </customSheetView>
    <customSheetView guid="{996EC2F0-F6EC-4E63-A83E-34865157BD8D}"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4"/>
    </customSheetView>
    <customSheetView guid="{AB9978E4-895D-4050-8F07-2484E22632D1}"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5"/>
    </customSheetView>
    <customSheetView guid="{AFADB96A-0516-43C1-9F1B-0604F3CAC04A}"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6"/>
    </customSheetView>
    <customSheetView guid="{F528EF6A-C113-49B5-B25F-D660F898CBFB}"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7"/>
    </customSheetView>
    <customSheetView guid="{B6B60ED6-A6CC-4DA7-A8CA-5E6DB52D5A87}"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8"/>
    </customSheetView>
    <customSheetView guid="{A4AF2100-C59D-4F60-9EAB-56D9103463F7}"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9"/>
    </customSheetView>
    <customSheetView guid="{EA46B61D-849C-4795-A4FF-F8F1740022EB}"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10"/>
    </customSheetView>
    <customSheetView guid="{B686A221-D885-4536-BEAC-E7F4BBC02150}"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11"/>
    </customSheetView>
    <customSheetView guid="{60A1F930-4BEC-460A-8E14-01E47F6DD055}"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12"/>
    </customSheetView>
    <customSheetView guid="{5DF2C78B-5EE4-439D-8D72-8D3A913B65F9}" scale="50" showPageBreaks="1" fitToPage="1" view="pageBreakPreview" topLeftCell="I23">
      <selection activeCell="AH35" sqref="AH35"/>
      <pageMargins left="0.70866141732283472" right="0.70866141732283472" top="0.74803149606299213" bottom="0.74803149606299213" header="0.31496062992125984" footer="0.31496062992125984"/>
      <pageSetup paperSize="9" scale="16" orientation="landscape" r:id="rId13"/>
    </customSheetView>
  </customSheetViews>
  <mergeCells count="87">
    <mergeCell ref="A38:A39"/>
    <mergeCell ref="B38:B39"/>
    <mergeCell ref="AH38:AH39"/>
    <mergeCell ref="AE33:AE34"/>
    <mergeCell ref="AF33:AF34"/>
    <mergeCell ref="AG33:AG34"/>
    <mergeCell ref="AH33:AH34"/>
    <mergeCell ref="A36:A37"/>
    <mergeCell ref="B36:B37"/>
    <mergeCell ref="AH36:AH37"/>
    <mergeCell ref="Y33:Y34"/>
    <mergeCell ref="Z33:Z34"/>
    <mergeCell ref="AA33:AA34"/>
    <mergeCell ref="AB33:AB34"/>
    <mergeCell ref="AC33:AC34"/>
    <mergeCell ref="AD33:AD34"/>
    <mergeCell ref="X33:X34"/>
    <mergeCell ref="M33:M34"/>
    <mergeCell ref="N33:N34"/>
    <mergeCell ref="O33:O34"/>
    <mergeCell ref="P33:P34"/>
    <mergeCell ref="Q33:Q34"/>
    <mergeCell ref="R33:R34"/>
    <mergeCell ref="S33:S34"/>
    <mergeCell ref="T33:T34"/>
    <mergeCell ref="U33:U34"/>
    <mergeCell ref="V33:V34"/>
    <mergeCell ref="W33:W34"/>
    <mergeCell ref="L33:L34"/>
    <mergeCell ref="A32:A35"/>
    <mergeCell ref="B32:B35"/>
    <mergeCell ref="C33:C34"/>
    <mergeCell ref="D33:D34"/>
    <mergeCell ref="E33:E34"/>
    <mergeCell ref="F33:F34"/>
    <mergeCell ref="G33:G34"/>
    <mergeCell ref="H33:H34"/>
    <mergeCell ref="I33:I34"/>
    <mergeCell ref="J33:J34"/>
    <mergeCell ref="K33:K34"/>
    <mergeCell ref="AH30:AH31"/>
    <mergeCell ref="B21:AG21"/>
    <mergeCell ref="A22:A23"/>
    <mergeCell ref="B22:B23"/>
    <mergeCell ref="AH22:AH25"/>
    <mergeCell ref="A24:A25"/>
    <mergeCell ref="B24:B25"/>
    <mergeCell ref="B26:AG26"/>
    <mergeCell ref="A27:A29"/>
    <mergeCell ref="B27:B29"/>
    <mergeCell ref="A30:A31"/>
    <mergeCell ref="B30:B31"/>
    <mergeCell ref="A15:A17"/>
    <mergeCell ref="B15:B17"/>
    <mergeCell ref="AH15:AH17"/>
    <mergeCell ref="A18:A20"/>
    <mergeCell ref="B18:B20"/>
    <mergeCell ref="AH18:AH20"/>
    <mergeCell ref="AH4:AH6"/>
    <mergeCell ref="A8:A10"/>
    <mergeCell ref="B8:B10"/>
    <mergeCell ref="B11:AG11"/>
    <mergeCell ref="A12:A14"/>
    <mergeCell ref="B12:B14"/>
    <mergeCell ref="AH12:AH14"/>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0866141732283472" right="0.70866141732283472" top="0.74803149606299213" bottom="0.74803149606299213" header="0.31496062992125984" footer="0.31496062992125984"/>
  <pageSetup paperSize="9" scale="16" orientation="landscape" r:id="rId14"/>
  <legacyDrawing r:id="rId1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tabSelected="1" zoomScale="70" zoomScaleNormal="70" workbookViewId="0">
      <pane xSplit="6" ySplit="7" topLeftCell="R8" activePane="bottomRight" state="frozen"/>
      <selection pane="topRight" activeCell="G1" sqref="G1"/>
      <selection pane="bottomLeft" activeCell="A8" sqref="A8"/>
      <selection pane="bottomRight" activeCell="AC8" sqref="AC8"/>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32.570312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36.75" customHeight="1" x14ac:dyDescent="0.25">
      <c r="A3" s="55"/>
      <c r="B3" s="55"/>
      <c r="C3" s="513" t="s">
        <v>190</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39">
        <v>45962</v>
      </c>
      <c r="F6" s="39">
        <v>45962</v>
      </c>
      <c r="G6" s="39">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530"/>
      <c r="B8" s="533" t="s">
        <v>23</v>
      </c>
      <c r="C8" s="69" t="s">
        <v>20</v>
      </c>
      <c r="D8" s="71">
        <f t="shared" ref="D8:AF8" si="0">D9</f>
        <v>1452.3</v>
      </c>
      <c r="E8" s="71">
        <f t="shared" si="0"/>
        <v>1142.5</v>
      </c>
      <c r="F8" s="71">
        <f t="shared" si="0"/>
        <v>204.39999999999998</v>
      </c>
      <c r="G8" s="71">
        <f t="shared" si="0"/>
        <v>129.9</v>
      </c>
      <c r="H8" s="71">
        <f>IFERROR(G8/D8*100,0)</f>
        <v>8.9444329683949615</v>
      </c>
      <c r="I8" s="71">
        <f>IFERROR(G8/E8*100,0)</f>
        <v>11.369803063457331</v>
      </c>
      <c r="J8" s="71">
        <f t="shared" si="0"/>
        <v>0</v>
      </c>
      <c r="K8" s="71">
        <f t="shared" si="0"/>
        <v>0</v>
      </c>
      <c r="L8" s="71">
        <f t="shared" si="0"/>
        <v>0</v>
      </c>
      <c r="M8" s="71">
        <f t="shared" si="0"/>
        <v>0</v>
      </c>
      <c r="N8" s="71">
        <f t="shared" si="0"/>
        <v>148.69999999999999</v>
      </c>
      <c r="O8" s="71">
        <f t="shared" si="0"/>
        <v>109.9</v>
      </c>
      <c r="P8" s="71">
        <f t="shared" si="0"/>
        <v>0</v>
      </c>
      <c r="Q8" s="71">
        <f t="shared" si="0"/>
        <v>0</v>
      </c>
      <c r="R8" s="71">
        <f t="shared" si="0"/>
        <v>0</v>
      </c>
      <c r="S8" s="71">
        <f t="shared" si="0"/>
        <v>0</v>
      </c>
      <c r="T8" s="71">
        <f t="shared" si="0"/>
        <v>0</v>
      </c>
      <c r="U8" s="71">
        <f t="shared" si="0"/>
        <v>0</v>
      </c>
      <c r="V8" s="71">
        <f t="shared" si="0"/>
        <v>938.1</v>
      </c>
      <c r="W8" s="71">
        <f t="shared" si="0"/>
        <v>0</v>
      </c>
      <c r="X8" s="71">
        <f t="shared" si="0"/>
        <v>6.7</v>
      </c>
      <c r="Y8" s="71">
        <f t="shared" si="0"/>
        <v>0</v>
      </c>
      <c r="Z8" s="71">
        <f t="shared" si="0"/>
        <v>9</v>
      </c>
      <c r="AA8" s="71">
        <f t="shared" si="0"/>
        <v>9</v>
      </c>
      <c r="AB8" s="71">
        <f t="shared" si="0"/>
        <v>40</v>
      </c>
      <c r="AC8" s="71">
        <f t="shared" si="0"/>
        <v>11</v>
      </c>
      <c r="AD8" s="71">
        <f t="shared" si="0"/>
        <v>309.8</v>
      </c>
      <c r="AE8" s="71">
        <f t="shared" si="0"/>
        <v>0</v>
      </c>
      <c r="AF8" s="71">
        <f t="shared" si="0"/>
        <v>0</v>
      </c>
      <c r="AG8" s="71">
        <f>AG9</f>
        <v>0</v>
      </c>
      <c r="AH8" s="72"/>
    </row>
    <row r="9" spans="1:35" s="26" customFormat="1" ht="41.25" customHeight="1" x14ac:dyDescent="0.25">
      <c r="A9" s="532"/>
      <c r="B9" s="535"/>
      <c r="C9" s="73" t="s">
        <v>21</v>
      </c>
      <c r="D9" s="74">
        <f>J9+L9+N9+P9+R9+T9+V9+X9+Z9+AB9+AD9+AF9</f>
        <v>1452.3</v>
      </c>
      <c r="E9" s="74">
        <f>J9+L9+N9+P9+R9+T9+V9+X9+Z9+AB9</f>
        <v>1142.5</v>
      </c>
      <c r="F9" s="74">
        <f>SUM(J9+L9+N9+P9+R9+T9+X9+Z9+AB9)</f>
        <v>204.39999999999998</v>
      </c>
      <c r="G9" s="74">
        <f>K9+M9+O9+Q9+S9+U9+W9+Y9+AA9+AC9+AE9+AG9</f>
        <v>129.9</v>
      </c>
      <c r="H9" s="71">
        <f>IFERROR(G9/D9*100,0)</f>
        <v>8.9444329683949615</v>
      </c>
      <c r="I9" s="71">
        <f>IFERROR(G9/E9*100,0)</f>
        <v>11.369803063457331</v>
      </c>
      <c r="J9" s="74">
        <f t="shared" ref="J9:AF9" si="1">J12+J21+J30</f>
        <v>0</v>
      </c>
      <c r="K9" s="74">
        <f t="shared" si="1"/>
        <v>0</v>
      </c>
      <c r="L9" s="74">
        <f t="shared" si="1"/>
        <v>0</v>
      </c>
      <c r="M9" s="74">
        <f t="shared" si="1"/>
        <v>0</v>
      </c>
      <c r="N9" s="74">
        <f t="shared" si="1"/>
        <v>148.69999999999999</v>
      </c>
      <c r="O9" s="74">
        <f t="shared" si="1"/>
        <v>109.9</v>
      </c>
      <c r="P9" s="74">
        <f t="shared" si="1"/>
        <v>0</v>
      </c>
      <c r="Q9" s="74">
        <f t="shared" si="1"/>
        <v>0</v>
      </c>
      <c r="R9" s="74">
        <f t="shared" si="1"/>
        <v>0</v>
      </c>
      <c r="S9" s="74">
        <f t="shared" si="1"/>
        <v>0</v>
      </c>
      <c r="T9" s="74">
        <f t="shared" si="1"/>
        <v>0</v>
      </c>
      <c r="U9" s="74">
        <f t="shared" si="1"/>
        <v>0</v>
      </c>
      <c r="V9" s="74">
        <f t="shared" si="1"/>
        <v>938.1</v>
      </c>
      <c r="W9" s="74">
        <f t="shared" si="1"/>
        <v>0</v>
      </c>
      <c r="X9" s="74">
        <f t="shared" si="1"/>
        <v>6.7</v>
      </c>
      <c r="Y9" s="74">
        <f t="shared" si="1"/>
        <v>0</v>
      </c>
      <c r="Z9" s="74">
        <f t="shared" si="1"/>
        <v>9</v>
      </c>
      <c r="AA9" s="74">
        <f t="shared" si="1"/>
        <v>9</v>
      </c>
      <c r="AB9" s="74">
        <f t="shared" si="1"/>
        <v>40</v>
      </c>
      <c r="AC9" s="74">
        <f t="shared" si="1"/>
        <v>11</v>
      </c>
      <c r="AD9" s="74">
        <f t="shared" si="1"/>
        <v>309.8</v>
      </c>
      <c r="AE9" s="74">
        <f t="shared" si="1"/>
        <v>0</v>
      </c>
      <c r="AF9" s="74">
        <f t="shared" si="1"/>
        <v>0</v>
      </c>
      <c r="AG9" s="74">
        <f>AG12+AG21+AG30</f>
        <v>0</v>
      </c>
      <c r="AH9" s="75"/>
    </row>
    <row r="10" spans="1:35" s="18" customFormat="1" ht="18.75" customHeight="1" x14ac:dyDescent="0.25">
      <c r="A10" s="118" t="s">
        <v>151</v>
      </c>
      <c r="B10" s="536" t="s">
        <v>191</v>
      </c>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8"/>
      <c r="AH10" s="46"/>
    </row>
    <row r="11" spans="1:35" s="22" customFormat="1" ht="50.25" customHeight="1" x14ac:dyDescent="0.25">
      <c r="A11" s="545" t="s">
        <v>37</v>
      </c>
      <c r="B11" s="527" t="s">
        <v>192</v>
      </c>
      <c r="C11" s="57" t="s">
        <v>20</v>
      </c>
      <c r="D11" s="58">
        <f>D12</f>
        <v>309.8</v>
      </c>
      <c r="E11" s="58">
        <f>E12</f>
        <v>0</v>
      </c>
      <c r="F11" s="58">
        <f>F12</f>
        <v>0</v>
      </c>
      <c r="G11" s="58">
        <f>G12</f>
        <v>0</v>
      </c>
      <c r="H11" s="58">
        <f t="shared" ref="H11" si="2">IFERROR(G11/D11*100,0)</f>
        <v>0</v>
      </c>
      <c r="I11" s="58">
        <f t="shared" ref="I11" si="3">IFERROR(G11/E11*100,0)</f>
        <v>0</v>
      </c>
      <c r="J11" s="59">
        <f t="shared" ref="J11:AF11" si="4">J12</f>
        <v>0</v>
      </c>
      <c r="K11" s="59">
        <f t="shared" si="4"/>
        <v>0</v>
      </c>
      <c r="L11" s="59">
        <f t="shared" si="4"/>
        <v>0</v>
      </c>
      <c r="M11" s="59">
        <f t="shared" si="4"/>
        <v>0</v>
      </c>
      <c r="N11" s="59">
        <f t="shared" si="4"/>
        <v>0</v>
      </c>
      <c r="O11" s="59">
        <f t="shared" si="4"/>
        <v>0</v>
      </c>
      <c r="P11" s="59">
        <f t="shared" si="4"/>
        <v>0</v>
      </c>
      <c r="Q11" s="59">
        <f t="shared" si="4"/>
        <v>0</v>
      </c>
      <c r="R11" s="59">
        <f t="shared" si="4"/>
        <v>0</v>
      </c>
      <c r="S11" s="59">
        <f t="shared" si="4"/>
        <v>0</v>
      </c>
      <c r="T11" s="59">
        <f t="shared" si="4"/>
        <v>0</v>
      </c>
      <c r="U11" s="59">
        <f t="shared" si="4"/>
        <v>0</v>
      </c>
      <c r="V11" s="59">
        <f t="shared" si="4"/>
        <v>0</v>
      </c>
      <c r="W11" s="59">
        <f t="shared" si="4"/>
        <v>0</v>
      </c>
      <c r="X11" s="59">
        <f t="shared" si="4"/>
        <v>0</v>
      </c>
      <c r="Y11" s="59">
        <f t="shared" si="4"/>
        <v>0</v>
      </c>
      <c r="Z11" s="59">
        <f t="shared" si="4"/>
        <v>0</v>
      </c>
      <c r="AA11" s="59">
        <f t="shared" si="4"/>
        <v>0</v>
      </c>
      <c r="AB11" s="59">
        <f t="shared" si="4"/>
        <v>0</v>
      </c>
      <c r="AC11" s="59">
        <f t="shared" si="4"/>
        <v>0</v>
      </c>
      <c r="AD11" s="59">
        <f t="shared" si="4"/>
        <v>309.8</v>
      </c>
      <c r="AE11" s="59">
        <f t="shared" si="4"/>
        <v>0</v>
      </c>
      <c r="AF11" s="59">
        <f t="shared" si="4"/>
        <v>0</v>
      </c>
      <c r="AG11" s="59">
        <f>AG12</f>
        <v>0</v>
      </c>
      <c r="AH11" s="60"/>
      <c r="AI11" s="20"/>
    </row>
    <row r="12" spans="1:35" s="26" customFormat="1" ht="71.25" customHeight="1" x14ac:dyDescent="0.25">
      <c r="A12" s="540"/>
      <c r="B12" s="528"/>
      <c r="C12" s="73" t="s">
        <v>21</v>
      </c>
      <c r="D12" s="74">
        <f>SUM(J12,L12,N12,P12,R12,T12,V12,X12,Z12,AB12,AD12,AF12)</f>
        <v>309.8</v>
      </c>
      <c r="E12" s="74">
        <f>J12+L12+N12+P12+R12+T12+V12+X12+Z12</f>
        <v>0</v>
      </c>
      <c r="F12" s="74">
        <f>G12</f>
        <v>0</v>
      </c>
      <c r="G12" s="74">
        <f>SUM(K12,M12,O12,Q12,S12,U12,W12,Y12,AA12,AC12,AE12,AG12)</f>
        <v>0</v>
      </c>
      <c r="H12" s="70">
        <f t="shared" ref="H12:H18" si="5">IFERROR(G12/D12*100,0)</f>
        <v>0</v>
      </c>
      <c r="I12" s="70">
        <f t="shared" ref="I12:I18" si="6">IFERROR(G12/E12*100,0)</f>
        <v>0</v>
      </c>
      <c r="J12" s="67">
        <f t="shared" ref="J12:AF12" si="7">J14+J16+J18</f>
        <v>0</v>
      </c>
      <c r="K12" s="67">
        <f t="shared" si="7"/>
        <v>0</v>
      </c>
      <c r="L12" s="67">
        <f t="shared" si="7"/>
        <v>0</v>
      </c>
      <c r="M12" s="67">
        <f t="shared" si="7"/>
        <v>0</v>
      </c>
      <c r="N12" s="67">
        <f t="shared" si="7"/>
        <v>0</v>
      </c>
      <c r="O12" s="67">
        <f t="shared" si="7"/>
        <v>0</v>
      </c>
      <c r="P12" s="67">
        <f t="shared" si="7"/>
        <v>0</v>
      </c>
      <c r="Q12" s="67">
        <f t="shared" si="7"/>
        <v>0</v>
      </c>
      <c r="R12" s="67">
        <f t="shared" si="7"/>
        <v>0</v>
      </c>
      <c r="S12" s="67">
        <f t="shared" si="7"/>
        <v>0</v>
      </c>
      <c r="T12" s="67">
        <f t="shared" si="7"/>
        <v>0</v>
      </c>
      <c r="U12" s="67">
        <f t="shared" si="7"/>
        <v>0</v>
      </c>
      <c r="V12" s="67">
        <f t="shared" si="7"/>
        <v>0</v>
      </c>
      <c r="W12" s="67">
        <f t="shared" si="7"/>
        <v>0</v>
      </c>
      <c r="X12" s="67">
        <f t="shared" si="7"/>
        <v>0</v>
      </c>
      <c r="Y12" s="67">
        <f t="shared" si="7"/>
        <v>0</v>
      </c>
      <c r="Z12" s="67">
        <f t="shared" si="7"/>
        <v>0</v>
      </c>
      <c r="AA12" s="67">
        <f t="shared" si="7"/>
        <v>0</v>
      </c>
      <c r="AB12" s="67">
        <f t="shared" si="7"/>
        <v>0</v>
      </c>
      <c r="AC12" s="67">
        <f t="shared" si="7"/>
        <v>0</v>
      </c>
      <c r="AD12" s="67">
        <f t="shared" si="7"/>
        <v>309.8</v>
      </c>
      <c r="AE12" s="67">
        <f t="shared" si="7"/>
        <v>0</v>
      </c>
      <c r="AF12" s="67">
        <f t="shared" si="7"/>
        <v>0</v>
      </c>
      <c r="AG12" s="67">
        <f>AG14+AG16+AG18</f>
        <v>0</v>
      </c>
      <c r="AH12" s="72"/>
      <c r="AI12" s="24"/>
    </row>
    <row r="13" spans="1:35" s="22" customFormat="1" ht="99" customHeight="1" x14ac:dyDescent="0.25">
      <c r="A13" s="545"/>
      <c r="B13" s="550" t="s">
        <v>193</v>
      </c>
      <c r="C13" s="57" t="s">
        <v>20</v>
      </c>
      <c r="D13" s="58">
        <f>D14</f>
        <v>0</v>
      </c>
      <c r="E13" s="58">
        <f>E14</f>
        <v>0</v>
      </c>
      <c r="F13" s="58">
        <f>F14</f>
        <v>0</v>
      </c>
      <c r="G13" s="58">
        <f>G14</f>
        <v>0</v>
      </c>
      <c r="H13" s="58">
        <f t="shared" si="5"/>
        <v>0</v>
      </c>
      <c r="I13" s="58">
        <f t="shared" si="6"/>
        <v>0</v>
      </c>
      <c r="J13" s="59">
        <f t="shared" ref="J13:AF13" si="8">J14</f>
        <v>0</v>
      </c>
      <c r="K13" s="59">
        <f t="shared" si="8"/>
        <v>0</v>
      </c>
      <c r="L13" s="59">
        <f t="shared" si="8"/>
        <v>0</v>
      </c>
      <c r="M13" s="59">
        <f t="shared" si="8"/>
        <v>0</v>
      </c>
      <c r="N13" s="59">
        <f t="shared" si="8"/>
        <v>0</v>
      </c>
      <c r="O13" s="59">
        <f t="shared" si="8"/>
        <v>0</v>
      </c>
      <c r="P13" s="59">
        <f t="shared" si="8"/>
        <v>0</v>
      </c>
      <c r="Q13" s="59">
        <f t="shared" si="8"/>
        <v>0</v>
      </c>
      <c r="R13" s="59">
        <f t="shared" si="8"/>
        <v>0</v>
      </c>
      <c r="S13" s="59">
        <f t="shared" si="8"/>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59">
        <f t="shared" si="8"/>
        <v>0</v>
      </c>
      <c r="AE13" s="59">
        <f t="shared" si="8"/>
        <v>0</v>
      </c>
      <c r="AF13" s="59">
        <f t="shared" si="8"/>
        <v>0</v>
      </c>
      <c r="AG13" s="59">
        <f>AG14</f>
        <v>0</v>
      </c>
      <c r="AH13" s="60"/>
      <c r="AI13" s="20"/>
    </row>
    <row r="14" spans="1:35" s="22" customFormat="1" ht="109.5" customHeight="1" x14ac:dyDescent="0.25">
      <c r="A14" s="540"/>
      <c r="B14" s="551"/>
      <c r="C14" s="61" t="s">
        <v>21</v>
      </c>
      <c r="D14" s="62">
        <f>SUM(J14,L14,N14,P14,R14,T14,V14,X14,Z14,AB14,AD14,AF14)</f>
        <v>0</v>
      </c>
      <c r="E14" s="62">
        <f>J14+L14+N14+P14+R14+T14+V14+X14+Z14</f>
        <v>0</v>
      </c>
      <c r="F14" s="62">
        <f>G14</f>
        <v>0</v>
      </c>
      <c r="G14" s="62">
        <f>SUM(K14,M14,O14,Q14,S14,U14,W14,Y14,AA14,AC14,AE14,AG14)</f>
        <v>0</v>
      </c>
      <c r="H14" s="58">
        <f t="shared" si="5"/>
        <v>0</v>
      </c>
      <c r="I14" s="58">
        <f t="shared" si="6"/>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0"/>
      <c r="AI14" s="20"/>
    </row>
    <row r="15" spans="1:35" s="22" customFormat="1" ht="55.5" customHeight="1" x14ac:dyDescent="0.25">
      <c r="A15" s="540"/>
      <c r="B15" s="550" t="s">
        <v>194</v>
      </c>
      <c r="C15" s="57" t="s">
        <v>20</v>
      </c>
      <c r="D15" s="58">
        <f>D16</f>
        <v>0</v>
      </c>
      <c r="E15" s="58">
        <f>E16</f>
        <v>0</v>
      </c>
      <c r="F15" s="58">
        <f>F16</f>
        <v>0</v>
      </c>
      <c r="G15" s="58">
        <f>G16</f>
        <v>0</v>
      </c>
      <c r="H15" s="58">
        <f t="shared" si="5"/>
        <v>0</v>
      </c>
      <c r="I15" s="58">
        <f t="shared" si="6"/>
        <v>0</v>
      </c>
      <c r="J15" s="59">
        <f t="shared" ref="J15:AF15" si="9">J16</f>
        <v>0</v>
      </c>
      <c r="K15" s="59">
        <f t="shared" si="9"/>
        <v>0</v>
      </c>
      <c r="L15" s="59">
        <f t="shared" si="9"/>
        <v>0</v>
      </c>
      <c r="M15" s="59">
        <f t="shared" si="9"/>
        <v>0</v>
      </c>
      <c r="N15" s="59">
        <f t="shared" si="9"/>
        <v>0</v>
      </c>
      <c r="O15" s="59">
        <f t="shared" si="9"/>
        <v>0</v>
      </c>
      <c r="P15" s="59">
        <f t="shared" si="9"/>
        <v>0</v>
      </c>
      <c r="Q15" s="59">
        <f t="shared" si="9"/>
        <v>0</v>
      </c>
      <c r="R15" s="59">
        <f t="shared" si="9"/>
        <v>0</v>
      </c>
      <c r="S15" s="59">
        <f t="shared" si="9"/>
        <v>0</v>
      </c>
      <c r="T15" s="59">
        <f t="shared" si="9"/>
        <v>0</v>
      </c>
      <c r="U15" s="59">
        <f t="shared" si="9"/>
        <v>0</v>
      </c>
      <c r="V15" s="59">
        <f t="shared" si="9"/>
        <v>0</v>
      </c>
      <c r="W15" s="59">
        <f t="shared" si="9"/>
        <v>0</v>
      </c>
      <c r="X15" s="59">
        <f t="shared" si="9"/>
        <v>0</v>
      </c>
      <c r="Y15" s="59">
        <f t="shared" si="9"/>
        <v>0</v>
      </c>
      <c r="Z15" s="59">
        <f t="shared" si="9"/>
        <v>0</v>
      </c>
      <c r="AA15" s="59">
        <f t="shared" si="9"/>
        <v>0</v>
      </c>
      <c r="AB15" s="59">
        <f t="shared" si="9"/>
        <v>0</v>
      </c>
      <c r="AC15" s="59">
        <f t="shared" si="9"/>
        <v>0</v>
      </c>
      <c r="AD15" s="59">
        <f t="shared" si="9"/>
        <v>0</v>
      </c>
      <c r="AE15" s="59">
        <f t="shared" si="9"/>
        <v>0</v>
      </c>
      <c r="AF15" s="59">
        <f t="shared" si="9"/>
        <v>0</v>
      </c>
      <c r="AG15" s="59">
        <f>AG16</f>
        <v>0</v>
      </c>
      <c r="AH15" s="60"/>
      <c r="AI15" s="20"/>
    </row>
    <row r="16" spans="1:35" s="22" customFormat="1" ht="198.75" customHeight="1" x14ac:dyDescent="0.25">
      <c r="A16" s="541"/>
      <c r="B16" s="551"/>
      <c r="C16" s="61" t="s">
        <v>21</v>
      </c>
      <c r="D16" s="62">
        <f>SUM(J16,L16,N16,P16,R16,T16,V16,X16,Z16,AB16,AD16,AF16)</f>
        <v>0</v>
      </c>
      <c r="E16" s="62">
        <f>J16+L16+N16+P16+R16+T16+V16+X16+Z16</f>
        <v>0</v>
      </c>
      <c r="F16" s="62">
        <f>G16</f>
        <v>0</v>
      </c>
      <c r="G16" s="62">
        <f>SUM(K16,M16,O16,Q16,S16,U16,W16,Y16,AA16,AC16,AE16,AG16)</f>
        <v>0</v>
      </c>
      <c r="H16" s="58">
        <f t="shared" si="5"/>
        <v>0</v>
      </c>
      <c r="I16" s="58">
        <f t="shared" si="6"/>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0"/>
      <c r="AI16" s="20"/>
    </row>
    <row r="17" spans="1:35" s="22" customFormat="1" ht="38.25" customHeight="1" x14ac:dyDescent="0.25">
      <c r="A17" s="539"/>
      <c r="B17" s="550" t="s">
        <v>195</v>
      </c>
      <c r="C17" s="57" t="s">
        <v>20</v>
      </c>
      <c r="D17" s="58">
        <f>D18</f>
        <v>309.8</v>
      </c>
      <c r="E17" s="58">
        <f>E18</f>
        <v>0</v>
      </c>
      <c r="F17" s="58">
        <f>F18</f>
        <v>0</v>
      </c>
      <c r="G17" s="58">
        <f>G18</f>
        <v>0</v>
      </c>
      <c r="H17" s="58">
        <f t="shared" si="5"/>
        <v>0</v>
      </c>
      <c r="I17" s="58">
        <f t="shared" si="6"/>
        <v>0</v>
      </c>
      <c r="J17" s="59">
        <f t="shared" ref="J17:AF17" si="10">J18</f>
        <v>0</v>
      </c>
      <c r="K17" s="59">
        <f t="shared" si="10"/>
        <v>0</v>
      </c>
      <c r="L17" s="59">
        <f t="shared" si="10"/>
        <v>0</v>
      </c>
      <c r="M17" s="59">
        <f t="shared" si="10"/>
        <v>0</v>
      </c>
      <c r="N17" s="59">
        <f t="shared" si="10"/>
        <v>0</v>
      </c>
      <c r="O17" s="59">
        <f t="shared" si="10"/>
        <v>0</v>
      </c>
      <c r="P17" s="59">
        <f t="shared" si="10"/>
        <v>0</v>
      </c>
      <c r="Q17" s="59">
        <f t="shared" si="10"/>
        <v>0</v>
      </c>
      <c r="R17" s="59">
        <f t="shared" si="10"/>
        <v>0</v>
      </c>
      <c r="S17" s="59">
        <f t="shared" si="10"/>
        <v>0</v>
      </c>
      <c r="T17" s="59">
        <f t="shared" si="10"/>
        <v>0</v>
      </c>
      <c r="U17" s="59">
        <f t="shared" si="10"/>
        <v>0</v>
      </c>
      <c r="V17" s="59">
        <f t="shared" si="10"/>
        <v>0</v>
      </c>
      <c r="W17" s="59">
        <f t="shared" si="10"/>
        <v>0</v>
      </c>
      <c r="X17" s="59">
        <f t="shared" si="10"/>
        <v>0</v>
      </c>
      <c r="Y17" s="59">
        <f t="shared" si="10"/>
        <v>0</v>
      </c>
      <c r="Z17" s="59">
        <f t="shared" si="10"/>
        <v>0</v>
      </c>
      <c r="AA17" s="59">
        <f t="shared" si="10"/>
        <v>0</v>
      </c>
      <c r="AB17" s="59">
        <f t="shared" si="10"/>
        <v>0</v>
      </c>
      <c r="AC17" s="59">
        <f t="shared" si="10"/>
        <v>0</v>
      </c>
      <c r="AD17" s="59">
        <f t="shared" si="10"/>
        <v>309.8</v>
      </c>
      <c r="AE17" s="59">
        <f t="shared" si="10"/>
        <v>0</v>
      </c>
      <c r="AF17" s="59">
        <f t="shared" si="10"/>
        <v>0</v>
      </c>
      <c r="AG17" s="59">
        <f>AG18</f>
        <v>0</v>
      </c>
      <c r="AH17" s="60"/>
      <c r="AI17" s="20"/>
    </row>
    <row r="18" spans="1:35" s="22" customFormat="1" ht="66.75" customHeight="1" x14ac:dyDescent="0.25">
      <c r="A18" s="541"/>
      <c r="B18" s="551"/>
      <c r="C18" s="61" t="s">
        <v>21</v>
      </c>
      <c r="D18" s="62">
        <f>SUM(J18,L18,N18,P18,R18,T18,V18,X18,Z18,AB18,AD18,AF18)</f>
        <v>309.8</v>
      </c>
      <c r="E18" s="62">
        <f>J18+L18+N18+P18+R18+T18+V18+X18+Z18</f>
        <v>0</v>
      </c>
      <c r="F18" s="62">
        <f>G18</f>
        <v>0</v>
      </c>
      <c r="G18" s="62">
        <f>SUM(K18,M18,O18,Q18,S18,U18,W18,Y18,AA18,AC18,AE18,AG18)</f>
        <v>0</v>
      </c>
      <c r="H18" s="58">
        <f t="shared" si="5"/>
        <v>0</v>
      </c>
      <c r="I18" s="58">
        <f t="shared" si="6"/>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309.8</v>
      </c>
      <c r="AE18" s="63">
        <v>0</v>
      </c>
      <c r="AF18" s="63">
        <v>0</v>
      </c>
      <c r="AG18" s="63">
        <v>0</v>
      </c>
      <c r="AH18" s="60"/>
      <c r="AI18" s="20"/>
    </row>
    <row r="19" spans="1:35" s="22" customFormat="1" ht="25.5" customHeight="1" x14ac:dyDescent="0.25">
      <c r="A19" s="118" t="s">
        <v>153</v>
      </c>
      <c r="B19" s="536" t="s">
        <v>196</v>
      </c>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8"/>
      <c r="AH19" s="60"/>
      <c r="AI19" s="20"/>
    </row>
    <row r="20" spans="1:35" s="22" customFormat="1" ht="44.25" customHeight="1" x14ac:dyDescent="0.25">
      <c r="A20" s="545" t="s">
        <v>154</v>
      </c>
      <c r="B20" s="527" t="s">
        <v>197</v>
      </c>
      <c r="C20" s="57" t="s">
        <v>20</v>
      </c>
      <c r="D20" s="59">
        <f t="shared" ref="D20:AF20" si="11">D21</f>
        <v>204.39999999999998</v>
      </c>
      <c r="E20" s="59">
        <f t="shared" si="11"/>
        <v>164.39999999999998</v>
      </c>
      <c r="F20" s="59">
        <f t="shared" si="11"/>
        <v>164.39999999999998</v>
      </c>
      <c r="G20" s="59">
        <f t="shared" si="11"/>
        <v>129.9</v>
      </c>
      <c r="H20" s="59">
        <f t="shared" ref="H20:H27" si="12">IFERROR(G20/D20*100,0)</f>
        <v>63.551859099804318</v>
      </c>
      <c r="I20" s="59">
        <f t="shared" ref="I20:I27" si="13">IFERROR(G20/E20*100,0)</f>
        <v>79.014598540145997</v>
      </c>
      <c r="J20" s="59">
        <f t="shared" si="11"/>
        <v>0</v>
      </c>
      <c r="K20" s="59">
        <f t="shared" si="11"/>
        <v>0</v>
      </c>
      <c r="L20" s="59">
        <f t="shared" si="11"/>
        <v>0</v>
      </c>
      <c r="M20" s="59">
        <f t="shared" si="11"/>
        <v>0</v>
      </c>
      <c r="N20" s="59">
        <f t="shared" si="11"/>
        <v>148.69999999999999</v>
      </c>
      <c r="O20" s="59">
        <f t="shared" si="11"/>
        <v>109.9</v>
      </c>
      <c r="P20" s="59">
        <f t="shared" si="11"/>
        <v>0</v>
      </c>
      <c r="Q20" s="59">
        <f t="shared" si="11"/>
        <v>0</v>
      </c>
      <c r="R20" s="59">
        <f t="shared" si="11"/>
        <v>0</v>
      </c>
      <c r="S20" s="59">
        <f t="shared" si="11"/>
        <v>0</v>
      </c>
      <c r="T20" s="59">
        <f t="shared" si="11"/>
        <v>0</v>
      </c>
      <c r="U20" s="59">
        <f t="shared" si="11"/>
        <v>0</v>
      </c>
      <c r="V20" s="59">
        <f t="shared" si="11"/>
        <v>0</v>
      </c>
      <c r="W20" s="59">
        <f t="shared" si="11"/>
        <v>0</v>
      </c>
      <c r="X20" s="59">
        <f t="shared" si="11"/>
        <v>6.7</v>
      </c>
      <c r="Y20" s="59">
        <f t="shared" si="11"/>
        <v>0</v>
      </c>
      <c r="Z20" s="59">
        <f t="shared" si="11"/>
        <v>9</v>
      </c>
      <c r="AA20" s="59">
        <f t="shared" si="11"/>
        <v>9</v>
      </c>
      <c r="AB20" s="59">
        <f t="shared" si="11"/>
        <v>40</v>
      </c>
      <c r="AC20" s="59">
        <f t="shared" si="11"/>
        <v>11</v>
      </c>
      <c r="AD20" s="59">
        <f t="shared" si="11"/>
        <v>0</v>
      </c>
      <c r="AE20" s="59">
        <f t="shared" si="11"/>
        <v>0</v>
      </c>
      <c r="AF20" s="59">
        <f t="shared" si="11"/>
        <v>0</v>
      </c>
      <c r="AG20" s="59">
        <f>AG21</f>
        <v>0</v>
      </c>
      <c r="AH20" s="60"/>
      <c r="AI20" s="20"/>
    </row>
    <row r="21" spans="1:35" s="22" customFormat="1" ht="129" customHeight="1" x14ac:dyDescent="0.25">
      <c r="A21" s="594"/>
      <c r="B21" s="529"/>
      <c r="C21" s="61" t="s">
        <v>21</v>
      </c>
      <c r="D21" s="62">
        <f>SUM(J21,L21,N21,P21,R21,T21,V21,X21,Z21,AB21,AD21,AF21)</f>
        <v>204.39999999999998</v>
      </c>
      <c r="E21" s="62">
        <f>J21+L21+N21+P21+R21+T21+V21+X21+Z21</f>
        <v>164.39999999999998</v>
      </c>
      <c r="F21" s="62">
        <f>SUM(J21+L21+N21+P21+R21+T21+V21+X21+Z21)</f>
        <v>164.39999999999998</v>
      </c>
      <c r="G21" s="62">
        <f>SUM(K21,M21,O21,Q21,S21,U21,W21,Y21,AA21,AC21,AE21,AG21)</f>
        <v>129.9</v>
      </c>
      <c r="H21" s="59">
        <f t="shared" si="12"/>
        <v>63.551859099804318</v>
      </c>
      <c r="I21" s="59">
        <f t="shared" si="13"/>
        <v>79.014598540145997</v>
      </c>
      <c r="J21" s="63">
        <f t="shared" ref="J21:AF21" si="14">J23+J25+J27</f>
        <v>0</v>
      </c>
      <c r="K21" s="63">
        <f t="shared" si="14"/>
        <v>0</v>
      </c>
      <c r="L21" s="63">
        <f t="shared" si="14"/>
        <v>0</v>
      </c>
      <c r="M21" s="63">
        <f t="shared" si="14"/>
        <v>0</v>
      </c>
      <c r="N21" s="63">
        <f t="shared" si="14"/>
        <v>148.69999999999999</v>
      </c>
      <c r="O21" s="63">
        <f t="shared" si="14"/>
        <v>109.9</v>
      </c>
      <c r="P21" s="63">
        <f t="shared" si="14"/>
        <v>0</v>
      </c>
      <c r="Q21" s="63">
        <f t="shared" si="14"/>
        <v>0</v>
      </c>
      <c r="R21" s="63">
        <f t="shared" si="14"/>
        <v>0</v>
      </c>
      <c r="S21" s="63">
        <f t="shared" si="14"/>
        <v>0</v>
      </c>
      <c r="T21" s="63">
        <f t="shared" si="14"/>
        <v>0</v>
      </c>
      <c r="U21" s="63">
        <f t="shared" si="14"/>
        <v>0</v>
      </c>
      <c r="V21" s="63">
        <f t="shared" si="14"/>
        <v>0</v>
      </c>
      <c r="W21" s="63">
        <f t="shared" si="14"/>
        <v>0</v>
      </c>
      <c r="X21" s="63">
        <f t="shared" si="14"/>
        <v>6.7</v>
      </c>
      <c r="Y21" s="63">
        <f t="shared" si="14"/>
        <v>0</v>
      </c>
      <c r="Z21" s="63">
        <f t="shared" si="14"/>
        <v>9</v>
      </c>
      <c r="AA21" s="63">
        <f t="shared" si="14"/>
        <v>9</v>
      </c>
      <c r="AB21" s="63">
        <f t="shared" si="14"/>
        <v>40</v>
      </c>
      <c r="AC21" s="63">
        <f t="shared" si="14"/>
        <v>11</v>
      </c>
      <c r="AD21" s="63">
        <f t="shared" si="14"/>
        <v>0</v>
      </c>
      <c r="AE21" s="63">
        <f t="shared" si="14"/>
        <v>0</v>
      </c>
      <c r="AF21" s="63">
        <f t="shared" si="14"/>
        <v>0</v>
      </c>
      <c r="AG21" s="63">
        <f>AG23+AG25+AG27</f>
        <v>0</v>
      </c>
      <c r="AH21" s="60"/>
      <c r="AI21" s="20"/>
    </row>
    <row r="22" spans="1:35" s="22" customFormat="1" ht="33" customHeight="1" x14ac:dyDescent="0.25">
      <c r="A22" s="545"/>
      <c r="B22" s="550" t="s">
        <v>198</v>
      </c>
      <c r="C22" s="57" t="s">
        <v>20</v>
      </c>
      <c r="D22" s="59">
        <f t="shared" ref="D22:AF22" si="15">D23</f>
        <v>157.69999999999999</v>
      </c>
      <c r="E22" s="59">
        <f t="shared" si="15"/>
        <v>157.69999999999999</v>
      </c>
      <c r="F22" s="59">
        <f t="shared" si="15"/>
        <v>118.9</v>
      </c>
      <c r="G22" s="59">
        <f t="shared" si="15"/>
        <v>118.9</v>
      </c>
      <c r="H22" s="59">
        <f t="shared" si="12"/>
        <v>75.39632213062778</v>
      </c>
      <c r="I22" s="59">
        <f t="shared" si="13"/>
        <v>75.39632213062778</v>
      </c>
      <c r="J22" s="59">
        <f t="shared" si="15"/>
        <v>0</v>
      </c>
      <c r="K22" s="59">
        <f t="shared" si="15"/>
        <v>0</v>
      </c>
      <c r="L22" s="59">
        <f t="shared" si="15"/>
        <v>0</v>
      </c>
      <c r="M22" s="59">
        <f t="shared" si="15"/>
        <v>0</v>
      </c>
      <c r="N22" s="59">
        <f t="shared" si="15"/>
        <v>148.69999999999999</v>
      </c>
      <c r="O22" s="59">
        <f t="shared" si="15"/>
        <v>109.9</v>
      </c>
      <c r="P22" s="59">
        <f t="shared" si="15"/>
        <v>0</v>
      </c>
      <c r="Q22" s="59">
        <f t="shared" si="15"/>
        <v>0</v>
      </c>
      <c r="R22" s="59">
        <f t="shared" si="15"/>
        <v>0</v>
      </c>
      <c r="S22" s="59">
        <f t="shared" si="15"/>
        <v>0</v>
      </c>
      <c r="T22" s="59">
        <f t="shared" si="15"/>
        <v>0</v>
      </c>
      <c r="U22" s="59">
        <f t="shared" si="15"/>
        <v>0</v>
      </c>
      <c r="V22" s="59">
        <f t="shared" si="15"/>
        <v>0</v>
      </c>
      <c r="W22" s="59">
        <f t="shared" si="15"/>
        <v>0</v>
      </c>
      <c r="X22" s="59">
        <f t="shared" si="15"/>
        <v>0</v>
      </c>
      <c r="Y22" s="59">
        <f t="shared" si="15"/>
        <v>0</v>
      </c>
      <c r="Z22" s="59">
        <f t="shared" si="15"/>
        <v>9</v>
      </c>
      <c r="AA22" s="59">
        <f t="shared" si="15"/>
        <v>9</v>
      </c>
      <c r="AB22" s="59">
        <f t="shared" si="15"/>
        <v>0</v>
      </c>
      <c r="AC22" s="59">
        <f t="shared" si="15"/>
        <v>0</v>
      </c>
      <c r="AD22" s="59">
        <f t="shared" si="15"/>
        <v>0</v>
      </c>
      <c r="AE22" s="59">
        <f t="shared" si="15"/>
        <v>0</v>
      </c>
      <c r="AF22" s="59">
        <f t="shared" si="15"/>
        <v>0</v>
      </c>
      <c r="AG22" s="59">
        <f>AG23</f>
        <v>0</v>
      </c>
      <c r="AH22" s="60"/>
      <c r="AI22" s="20"/>
    </row>
    <row r="23" spans="1:35" s="22" customFormat="1" ht="46.5" customHeight="1" x14ac:dyDescent="0.25">
      <c r="A23" s="540"/>
      <c r="B23" s="551"/>
      <c r="C23" s="61" t="s">
        <v>21</v>
      </c>
      <c r="D23" s="62">
        <f>SUM(J23,L23,N23,P23,R23,T23,V23,X23,Z23,AB23,AD23,AF23)</f>
        <v>157.69999999999999</v>
      </c>
      <c r="E23" s="62">
        <f>J23+L23+N23+P23+R23+T23+V23+X23+Z23</f>
        <v>157.69999999999999</v>
      </c>
      <c r="F23" s="62">
        <f>G23</f>
        <v>118.9</v>
      </c>
      <c r="G23" s="62">
        <f>SUM(K23,M23,O23,Q23,S23,U23,W23,Y23,AA23,AC23,AE23,AG23)</f>
        <v>118.9</v>
      </c>
      <c r="H23" s="59">
        <f t="shared" si="12"/>
        <v>75.39632213062778</v>
      </c>
      <c r="I23" s="59">
        <f t="shared" si="13"/>
        <v>75.39632213062778</v>
      </c>
      <c r="J23" s="63">
        <v>0</v>
      </c>
      <c r="K23" s="63">
        <v>0</v>
      </c>
      <c r="L23" s="63">
        <v>0</v>
      </c>
      <c r="M23" s="63">
        <v>0</v>
      </c>
      <c r="N23" s="63">
        <v>148.69999999999999</v>
      </c>
      <c r="O23" s="63">
        <v>109.9</v>
      </c>
      <c r="P23" s="63">
        <v>0</v>
      </c>
      <c r="Q23" s="63">
        <v>0</v>
      </c>
      <c r="R23" s="63">
        <v>0</v>
      </c>
      <c r="S23" s="63">
        <v>0</v>
      </c>
      <c r="T23" s="63">
        <v>0</v>
      </c>
      <c r="U23" s="63">
        <v>0</v>
      </c>
      <c r="V23" s="63">
        <v>0</v>
      </c>
      <c r="W23" s="63">
        <v>0</v>
      </c>
      <c r="X23" s="63">
        <v>0</v>
      </c>
      <c r="Y23" s="63">
        <v>0</v>
      </c>
      <c r="Z23" s="63">
        <v>9</v>
      </c>
      <c r="AA23" s="63">
        <v>9</v>
      </c>
      <c r="AB23" s="63">
        <v>0</v>
      </c>
      <c r="AC23" s="63">
        <v>0</v>
      </c>
      <c r="AD23" s="63">
        <v>0</v>
      </c>
      <c r="AE23" s="63">
        <v>0</v>
      </c>
      <c r="AF23" s="63">
        <v>0</v>
      </c>
      <c r="AG23" s="63">
        <v>0</v>
      </c>
      <c r="AH23" s="60" t="s">
        <v>342</v>
      </c>
      <c r="AI23" s="20"/>
    </row>
    <row r="24" spans="1:35" s="22" customFormat="1" ht="38.25" customHeight="1" x14ac:dyDescent="0.25">
      <c r="A24" s="539"/>
      <c r="B24" s="550" t="s">
        <v>199</v>
      </c>
      <c r="C24" s="57" t="s">
        <v>20</v>
      </c>
      <c r="D24" s="59">
        <f t="shared" ref="D24:AF24" si="16">D25</f>
        <v>40</v>
      </c>
      <c r="E24" s="59">
        <f t="shared" si="16"/>
        <v>40</v>
      </c>
      <c r="F24" s="59">
        <f t="shared" si="16"/>
        <v>11</v>
      </c>
      <c r="G24" s="59">
        <f t="shared" si="16"/>
        <v>11</v>
      </c>
      <c r="H24" s="59">
        <f t="shared" si="12"/>
        <v>27.500000000000004</v>
      </c>
      <c r="I24" s="59">
        <f t="shared" si="13"/>
        <v>27.500000000000004</v>
      </c>
      <c r="J24" s="59">
        <f t="shared" si="16"/>
        <v>0</v>
      </c>
      <c r="K24" s="59">
        <f t="shared" si="16"/>
        <v>0</v>
      </c>
      <c r="L24" s="59">
        <f t="shared" si="16"/>
        <v>0</v>
      </c>
      <c r="M24" s="59">
        <f t="shared" si="16"/>
        <v>0</v>
      </c>
      <c r="N24" s="59">
        <f t="shared" si="16"/>
        <v>0</v>
      </c>
      <c r="O24" s="59">
        <f t="shared" si="16"/>
        <v>0</v>
      </c>
      <c r="P24" s="59">
        <f t="shared" si="16"/>
        <v>0</v>
      </c>
      <c r="Q24" s="59">
        <f t="shared" si="16"/>
        <v>0</v>
      </c>
      <c r="R24" s="59">
        <f t="shared" si="16"/>
        <v>0</v>
      </c>
      <c r="S24" s="59">
        <f t="shared" si="16"/>
        <v>0</v>
      </c>
      <c r="T24" s="59">
        <f t="shared" si="16"/>
        <v>0</v>
      </c>
      <c r="U24" s="59">
        <f t="shared" si="16"/>
        <v>0</v>
      </c>
      <c r="V24" s="59">
        <f t="shared" si="16"/>
        <v>0</v>
      </c>
      <c r="W24" s="59">
        <f t="shared" si="16"/>
        <v>0</v>
      </c>
      <c r="X24" s="59">
        <f t="shared" si="16"/>
        <v>0</v>
      </c>
      <c r="Y24" s="59">
        <f t="shared" si="16"/>
        <v>0</v>
      </c>
      <c r="Z24" s="59">
        <f t="shared" si="16"/>
        <v>0</v>
      </c>
      <c r="AA24" s="59">
        <f t="shared" si="16"/>
        <v>0</v>
      </c>
      <c r="AB24" s="59">
        <f t="shared" si="16"/>
        <v>40</v>
      </c>
      <c r="AC24" s="59">
        <f t="shared" si="16"/>
        <v>11</v>
      </c>
      <c r="AD24" s="59">
        <f t="shared" si="16"/>
        <v>0</v>
      </c>
      <c r="AE24" s="59">
        <f t="shared" si="16"/>
        <v>0</v>
      </c>
      <c r="AF24" s="59">
        <f t="shared" si="16"/>
        <v>0</v>
      </c>
      <c r="AG24" s="59">
        <f>AG25</f>
        <v>0</v>
      </c>
      <c r="AH24" s="60"/>
      <c r="AI24" s="20"/>
    </row>
    <row r="25" spans="1:35" s="22" customFormat="1" ht="90.75" customHeight="1" x14ac:dyDescent="0.25">
      <c r="A25" s="541"/>
      <c r="B25" s="551"/>
      <c r="C25" s="61" t="s">
        <v>21</v>
      </c>
      <c r="D25" s="62">
        <f>SUM(J25,L25,N25,P25,R25,T25,V25,X25,Z25,AB25,AD25,AF25)</f>
        <v>40</v>
      </c>
      <c r="E25" s="62">
        <f>J25+L25+N25+P25+R25+T25+V25+X25+Z25+AB25</f>
        <v>40</v>
      </c>
      <c r="F25" s="62">
        <f>G25</f>
        <v>11</v>
      </c>
      <c r="G25" s="62">
        <f>SUM(K25,M25,O25,Q25,S25,U25,W25,Y25,AA25,AC25,AE25,AG25)</f>
        <v>11</v>
      </c>
      <c r="H25" s="59">
        <f t="shared" si="12"/>
        <v>27.500000000000004</v>
      </c>
      <c r="I25" s="59">
        <f t="shared" si="13"/>
        <v>27.500000000000004</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40</v>
      </c>
      <c r="AC25" s="63">
        <v>11</v>
      </c>
      <c r="AD25" s="63">
        <v>0</v>
      </c>
      <c r="AE25" s="63">
        <v>0</v>
      </c>
      <c r="AF25" s="63">
        <v>0</v>
      </c>
      <c r="AG25" s="63">
        <v>0</v>
      </c>
      <c r="AH25" s="60" t="s">
        <v>451</v>
      </c>
      <c r="AI25" s="20"/>
    </row>
    <row r="26" spans="1:35" s="22" customFormat="1" ht="30.75" customHeight="1" x14ac:dyDescent="0.25">
      <c r="A26" s="539"/>
      <c r="B26" s="550" t="s">
        <v>200</v>
      </c>
      <c r="C26" s="57" t="s">
        <v>20</v>
      </c>
      <c r="D26" s="59">
        <f t="shared" ref="D26:AF26" si="17">D27</f>
        <v>6.7</v>
      </c>
      <c r="E26" s="59">
        <f t="shared" si="17"/>
        <v>6.7</v>
      </c>
      <c r="F26" s="59">
        <f t="shared" si="17"/>
        <v>0</v>
      </c>
      <c r="G26" s="59">
        <f t="shared" si="17"/>
        <v>0</v>
      </c>
      <c r="H26" s="59">
        <f t="shared" si="12"/>
        <v>0</v>
      </c>
      <c r="I26" s="59">
        <f t="shared" si="13"/>
        <v>0</v>
      </c>
      <c r="J26" s="59">
        <f t="shared" si="17"/>
        <v>0</v>
      </c>
      <c r="K26" s="59">
        <f t="shared" si="17"/>
        <v>0</v>
      </c>
      <c r="L26" s="59">
        <f t="shared" si="17"/>
        <v>0</v>
      </c>
      <c r="M26" s="59">
        <f t="shared" si="17"/>
        <v>0</v>
      </c>
      <c r="N26" s="59">
        <f t="shared" si="17"/>
        <v>0</v>
      </c>
      <c r="O26" s="59">
        <f t="shared" si="17"/>
        <v>0</v>
      </c>
      <c r="P26" s="59">
        <f t="shared" si="17"/>
        <v>0</v>
      </c>
      <c r="Q26" s="59">
        <f t="shared" si="17"/>
        <v>0</v>
      </c>
      <c r="R26" s="59">
        <f t="shared" si="17"/>
        <v>0</v>
      </c>
      <c r="S26" s="59">
        <f t="shared" si="17"/>
        <v>0</v>
      </c>
      <c r="T26" s="59">
        <f t="shared" si="17"/>
        <v>0</v>
      </c>
      <c r="U26" s="59">
        <f t="shared" si="17"/>
        <v>0</v>
      </c>
      <c r="V26" s="59">
        <f t="shared" si="17"/>
        <v>0</v>
      </c>
      <c r="W26" s="59">
        <f t="shared" si="17"/>
        <v>0</v>
      </c>
      <c r="X26" s="59">
        <f t="shared" si="17"/>
        <v>6.7</v>
      </c>
      <c r="Y26" s="59">
        <f t="shared" si="17"/>
        <v>0</v>
      </c>
      <c r="Z26" s="59">
        <f t="shared" si="17"/>
        <v>0</v>
      </c>
      <c r="AA26" s="59">
        <f t="shared" si="17"/>
        <v>0</v>
      </c>
      <c r="AB26" s="59">
        <f t="shared" si="17"/>
        <v>0</v>
      </c>
      <c r="AC26" s="59">
        <f t="shared" si="17"/>
        <v>0</v>
      </c>
      <c r="AD26" s="59">
        <f t="shared" si="17"/>
        <v>0</v>
      </c>
      <c r="AE26" s="59">
        <f t="shared" si="17"/>
        <v>0</v>
      </c>
      <c r="AF26" s="59">
        <f t="shared" si="17"/>
        <v>0</v>
      </c>
      <c r="AG26" s="59">
        <f>AG27</f>
        <v>0</v>
      </c>
      <c r="AH26" s="60"/>
      <c r="AI26" s="20"/>
    </row>
    <row r="27" spans="1:35" s="22" customFormat="1" ht="58.5" customHeight="1" x14ac:dyDescent="0.25">
      <c r="A27" s="541"/>
      <c r="B27" s="551"/>
      <c r="C27" s="61" t="s">
        <v>21</v>
      </c>
      <c r="D27" s="62">
        <f>SUM(J27,L27,N27,P27,R27,T27,V27,X27,Z27,AB27,AD27,AF27)</f>
        <v>6.7</v>
      </c>
      <c r="E27" s="62">
        <f>J27+L27+N27+P27+R27+T27+V27+X27+Z27+AB27</f>
        <v>6.7</v>
      </c>
      <c r="F27" s="62">
        <f>G27</f>
        <v>0</v>
      </c>
      <c r="G27" s="62">
        <f>SUM(K27,M27,O27,Q27,S27,U27,W27,Y27,AA27,AC27,AE27,AG27)</f>
        <v>0</v>
      </c>
      <c r="H27" s="59">
        <f t="shared" si="12"/>
        <v>0</v>
      </c>
      <c r="I27" s="59">
        <f t="shared" si="13"/>
        <v>0</v>
      </c>
      <c r="J27" s="63">
        <v>0</v>
      </c>
      <c r="K27" s="63">
        <v>0</v>
      </c>
      <c r="L27" s="63">
        <v>0</v>
      </c>
      <c r="M27" s="63">
        <v>0</v>
      </c>
      <c r="N27" s="63">
        <v>0</v>
      </c>
      <c r="O27" s="63">
        <v>0</v>
      </c>
      <c r="P27" s="63">
        <v>0</v>
      </c>
      <c r="Q27" s="63">
        <v>0</v>
      </c>
      <c r="R27" s="63">
        <v>0</v>
      </c>
      <c r="S27" s="63">
        <v>0</v>
      </c>
      <c r="T27" s="63">
        <v>0</v>
      </c>
      <c r="U27" s="63">
        <v>0</v>
      </c>
      <c r="V27" s="63">
        <v>0</v>
      </c>
      <c r="W27" s="63">
        <v>0</v>
      </c>
      <c r="X27" s="63">
        <v>6.7</v>
      </c>
      <c r="Y27" s="63">
        <v>0</v>
      </c>
      <c r="Z27" s="63">
        <v>0</v>
      </c>
      <c r="AA27" s="63">
        <v>0</v>
      </c>
      <c r="AB27" s="63">
        <v>0</v>
      </c>
      <c r="AC27" s="63">
        <v>0</v>
      </c>
      <c r="AD27" s="63">
        <v>0</v>
      </c>
      <c r="AE27" s="63">
        <v>0</v>
      </c>
      <c r="AF27" s="63">
        <v>0</v>
      </c>
      <c r="AG27" s="63">
        <v>0</v>
      </c>
      <c r="AH27" s="461" t="s">
        <v>400</v>
      </c>
      <c r="AI27" s="20"/>
    </row>
    <row r="28" spans="1:35" s="22" customFormat="1" ht="25.5" customHeight="1" x14ac:dyDescent="0.25">
      <c r="A28" s="118" t="s">
        <v>156</v>
      </c>
      <c r="B28" s="536" t="s">
        <v>201</v>
      </c>
      <c r="C28" s="537"/>
      <c r="D28" s="537"/>
      <c r="E28" s="537"/>
      <c r="F28" s="537"/>
      <c r="G28" s="537"/>
      <c r="H28" s="537"/>
      <c r="I28" s="537"/>
      <c r="J28" s="537"/>
      <c r="K28" s="537"/>
      <c r="L28" s="537"/>
      <c r="M28" s="537"/>
      <c r="N28" s="537"/>
      <c r="O28" s="537"/>
      <c r="P28" s="537"/>
      <c r="Q28" s="537"/>
      <c r="R28" s="537"/>
      <c r="S28" s="537"/>
      <c r="T28" s="537"/>
      <c r="U28" s="537"/>
      <c r="V28" s="537"/>
      <c r="W28" s="537"/>
      <c r="X28" s="537"/>
      <c r="Y28" s="537"/>
      <c r="Z28" s="537"/>
      <c r="AA28" s="537"/>
      <c r="AB28" s="537"/>
      <c r="AC28" s="537"/>
      <c r="AD28" s="537"/>
      <c r="AE28" s="537"/>
      <c r="AF28" s="537"/>
      <c r="AG28" s="538"/>
      <c r="AH28" s="60"/>
      <c r="AI28" s="20"/>
    </row>
    <row r="29" spans="1:35" s="30" customFormat="1" ht="50.25" customHeight="1" x14ac:dyDescent="0.25">
      <c r="A29" s="569" t="s">
        <v>63</v>
      </c>
      <c r="B29" s="533" t="s">
        <v>202</v>
      </c>
      <c r="C29" s="69" t="s">
        <v>20</v>
      </c>
      <c r="D29" s="70">
        <f>D30</f>
        <v>938.1</v>
      </c>
      <c r="E29" s="70">
        <f t="shared" ref="E29:AG29" si="18">E30</f>
        <v>938.1</v>
      </c>
      <c r="F29" s="70">
        <f t="shared" si="18"/>
        <v>0</v>
      </c>
      <c r="G29" s="70">
        <f t="shared" si="18"/>
        <v>0</v>
      </c>
      <c r="H29" s="70">
        <f>IFERROR(G29/D29*100,0)</f>
        <v>0</v>
      </c>
      <c r="I29" s="70">
        <f>IFERROR(G29/E29*100,0)</f>
        <v>0</v>
      </c>
      <c r="J29" s="70">
        <f t="shared" si="18"/>
        <v>0</v>
      </c>
      <c r="K29" s="70">
        <f t="shared" si="18"/>
        <v>0</v>
      </c>
      <c r="L29" s="70">
        <f t="shared" si="18"/>
        <v>0</v>
      </c>
      <c r="M29" s="70">
        <f t="shared" si="18"/>
        <v>0</v>
      </c>
      <c r="N29" s="70">
        <f t="shared" si="18"/>
        <v>0</v>
      </c>
      <c r="O29" s="70">
        <f t="shared" si="18"/>
        <v>0</v>
      </c>
      <c r="P29" s="70">
        <f t="shared" si="18"/>
        <v>0</v>
      </c>
      <c r="Q29" s="70">
        <f t="shared" si="18"/>
        <v>0</v>
      </c>
      <c r="R29" s="70">
        <f t="shared" si="18"/>
        <v>0</v>
      </c>
      <c r="S29" s="70">
        <f t="shared" si="18"/>
        <v>0</v>
      </c>
      <c r="T29" s="70">
        <f t="shared" si="18"/>
        <v>0</v>
      </c>
      <c r="U29" s="70">
        <f t="shared" si="18"/>
        <v>0</v>
      </c>
      <c r="V29" s="70">
        <f t="shared" si="18"/>
        <v>938.1</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72"/>
      <c r="AI29" s="29"/>
    </row>
    <row r="30" spans="1:35" s="31" customFormat="1" ht="110.25" customHeight="1" x14ac:dyDescent="0.25">
      <c r="A30" s="570"/>
      <c r="B30" s="535"/>
      <c r="C30" s="73" t="s">
        <v>21</v>
      </c>
      <c r="D30" s="74">
        <f>SUM(J30,L30,N30,P30,R30,T30,V30,X30,Z30,AB30,AD30,AF30)</f>
        <v>938.1</v>
      </c>
      <c r="E30" s="74">
        <f>J30+L30+N30+P30+R30+T30+V30+X30+Z30+AB30</f>
        <v>938.1</v>
      </c>
      <c r="F30" s="74">
        <f>G30</f>
        <v>0</v>
      </c>
      <c r="G30" s="74">
        <f>SUM(K30,M30,O30,Q30,S30,U30,W30,Y30,AA30,AC30,AE30,AG30)</f>
        <v>0</v>
      </c>
      <c r="H30" s="74">
        <f>IFERROR(G30/D30*100,0)</f>
        <v>0</v>
      </c>
      <c r="I30" s="74">
        <f>IFERROR(G30/E30*100,0)</f>
        <v>0</v>
      </c>
      <c r="J30" s="67">
        <f t="shared" ref="J30:AF30" si="19">J32</f>
        <v>0</v>
      </c>
      <c r="K30" s="67">
        <f t="shared" si="19"/>
        <v>0</v>
      </c>
      <c r="L30" s="67">
        <f t="shared" si="19"/>
        <v>0</v>
      </c>
      <c r="M30" s="67">
        <f t="shared" si="19"/>
        <v>0</v>
      </c>
      <c r="N30" s="67">
        <f t="shared" si="19"/>
        <v>0</v>
      </c>
      <c r="O30" s="67">
        <f t="shared" si="19"/>
        <v>0</v>
      </c>
      <c r="P30" s="67">
        <f t="shared" si="19"/>
        <v>0</v>
      </c>
      <c r="Q30" s="67">
        <f t="shared" si="19"/>
        <v>0</v>
      </c>
      <c r="R30" s="67">
        <f t="shared" si="19"/>
        <v>0</v>
      </c>
      <c r="S30" s="67">
        <f t="shared" si="19"/>
        <v>0</v>
      </c>
      <c r="T30" s="67">
        <f t="shared" si="19"/>
        <v>0</v>
      </c>
      <c r="U30" s="67">
        <f t="shared" si="19"/>
        <v>0</v>
      </c>
      <c r="V30" s="67">
        <f t="shared" si="19"/>
        <v>938.1</v>
      </c>
      <c r="W30" s="67">
        <f t="shared" si="19"/>
        <v>0</v>
      </c>
      <c r="X30" s="67">
        <f t="shared" si="19"/>
        <v>0</v>
      </c>
      <c r="Y30" s="67">
        <f t="shared" si="19"/>
        <v>0</v>
      </c>
      <c r="Z30" s="67">
        <f t="shared" si="19"/>
        <v>0</v>
      </c>
      <c r="AA30" s="67">
        <f t="shared" si="19"/>
        <v>0</v>
      </c>
      <c r="AB30" s="67">
        <f t="shared" si="19"/>
        <v>0</v>
      </c>
      <c r="AC30" s="67">
        <f t="shared" si="19"/>
        <v>0</v>
      </c>
      <c r="AD30" s="67">
        <f t="shared" si="19"/>
        <v>0</v>
      </c>
      <c r="AE30" s="67">
        <f t="shared" si="19"/>
        <v>0</v>
      </c>
      <c r="AF30" s="67">
        <f t="shared" si="19"/>
        <v>0</v>
      </c>
      <c r="AG30" s="67">
        <f>AG32</f>
        <v>0</v>
      </c>
      <c r="AH30" s="75"/>
      <c r="AI30" s="29"/>
    </row>
    <row r="31" spans="1:35" s="10" customFormat="1" ht="25.5" customHeight="1" x14ac:dyDescent="0.25">
      <c r="A31" s="569"/>
      <c r="B31" s="550" t="s">
        <v>203</v>
      </c>
      <c r="C31" s="69" t="s">
        <v>20</v>
      </c>
      <c r="D31" s="71">
        <f t="shared" ref="D31:AF31" si="20">SUM(D32:D32)</f>
        <v>938.1</v>
      </c>
      <c r="E31" s="71">
        <f t="shared" si="20"/>
        <v>938.1</v>
      </c>
      <c r="F31" s="71">
        <f t="shared" si="20"/>
        <v>0</v>
      </c>
      <c r="G31" s="71">
        <f t="shared" si="20"/>
        <v>0</v>
      </c>
      <c r="H31" s="71">
        <f>IFERROR(G31/D31*100,0)</f>
        <v>0</v>
      </c>
      <c r="I31" s="71">
        <f>IFERROR(G31/E31*100,0)</f>
        <v>0</v>
      </c>
      <c r="J31" s="71">
        <f t="shared" si="20"/>
        <v>0</v>
      </c>
      <c r="K31" s="71">
        <f t="shared" si="20"/>
        <v>0</v>
      </c>
      <c r="L31" s="71">
        <f t="shared" si="20"/>
        <v>0</v>
      </c>
      <c r="M31" s="71">
        <f t="shared" si="20"/>
        <v>0</v>
      </c>
      <c r="N31" s="71">
        <f t="shared" si="20"/>
        <v>0</v>
      </c>
      <c r="O31" s="71">
        <f t="shared" si="20"/>
        <v>0</v>
      </c>
      <c r="P31" s="71">
        <f t="shared" si="20"/>
        <v>0</v>
      </c>
      <c r="Q31" s="71">
        <f t="shared" si="20"/>
        <v>0</v>
      </c>
      <c r="R31" s="71">
        <f t="shared" si="20"/>
        <v>0</v>
      </c>
      <c r="S31" s="71">
        <f t="shared" si="20"/>
        <v>0</v>
      </c>
      <c r="T31" s="71">
        <f t="shared" si="20"/>
        <v>0</v>
      </c>
      <c r="U31" s="71">
        <f t="shared" si="20"/>
        <v>0</v>
      </c>
      <c r="V31" s="71">
        <f t="shared" si="20"/>
        <v>938.1</v>
      </c>
      <c r="W31" s="71">
        <f t="shared" si="20"/>
        <v>0</v>
      </c>
      <c r="X31" s="71">
        <f t="shared" si="20"/>
        <v>0</v>
      </c>
      <c r="Y31" s="71">
        <f t="shared" si="20"/>
        <v>0</v>
      </c>
      <c r="Z31" s="71">
        <f t="shared" si="20"/>
        <v>0</v>
      </c>
      <c r="AA31" s="71">
        <f t="shared" si="20"/>
        <v>0</v>
      </c>
      <c r="AB31" s="71">
        <f t="shared" si="20"/>
        <v>0</v>
      </c>
      <c r="AC31" s="71">
        <f t="shared" si="20"/>
        <v>0</v>
      </c>
      <c r="AD31" s="71">
        <f t="shared" si="20"/>
        <v>0</v>
      </c>
      <c r="AE31" s="71">
        <f t="shared" si="20"/>
        <v>0</v>
      </c>
      <c r="AF31" s="71">
        <f t="shared" si="20"/>
        <v>0</v>
      </c>
      <c r="AG31" s="71">
        <f>SUM(AG32:AG32)</f>
        <v>0</v>
      </c>
      <c r="AH31" s="72"/>
    </row>
    <row r="32" spans="1:35" s="10" customFormat="1" ht="159" customHeight="1" x14ac:dyDescent="0.25">
      <c r="A32" s="570"/>
      <c r="B32" s="595"/>
      <c r="C32" s="73" t="s">
        <v>21</v>
      </c>
      <c r="D32" s="74">
        <f>SUM(J32,L32,N32,P32,R32,T32,V32,X32,Z32,AB32,AD32,AF32)</f>
        <v>938.1</v>
      </c>
      <c r="E32" s="74">
        <f>J32+L32+N32+P32+R32+T32+V32+X32+Z32</f>
        <v>938.1</v>
      </c>
      <c r="F32" s="74">
        <f>G32</f>
        <v>0</v>
      </c>
      <c r="G32" s="74">
        <f>SUM(K32,M32,O32,Q32,S32,U32,W32,Y32,AA32,AC32,AE32,AG32)</f>
        <v>0</v>
      </c>
      <c r="H32" s="74">
        <f>IFERROR(G32/D32*100,0)</f>
        <v>0</v>
      </c>
      <c r="I32" s="74">
        <f>IFERROR(G32/E32*100,0)</f>
        <v>0</v>
      </c>
      <c r="J32" s="67">
        <v>0</v>
      </c>
      <c r="K32" s="67">
        <v>0</v>
      </c>
      <c r="L32" s="67">
        <v>0</v>
      </c>
      <c r="M32" s="67">
        <v>0</v>
      </c>
      <c r="N32" s="67">
        <v>0</v>
      </c>
      <c r="O32" s="67">
        <v>0</v>
      </c>
      <c r="P32" s="67">
        <v>0</v>
      </c>
      <c r="Q32" s="67">
        <v>0</v>
      </c>
      <c r="R32" s="67">
        <v>0</v>
      </c>
      <c r="S32" s="67">
        <v>0</v>
      </c>
      <c r="T32" s="67">
        <v>0</v>
      </c>
      <c r="U32" s="67">
        <v>0</v>
      </c>
      <c r="V32" s="67">
        <v>938.1</v>
      </c>
      <c r="W32" s="67">
        <v>0</v>
      </c>
      <c r="X32" s="67">
        <v>0</v>
      </c>
      <c r="Y32" s="67">
        <v>0</v>
      </c>
      <c r="Z32" s="67">
        <v>0</v>
      </c>
      <c r="AA32" s="67">
        <v>0</v>
      </c>
      <c r="AB32" s="67">
        <v>0</v>
      </c>
      <c r="AC32" s="67">
        <v>0</v>
      </c>
      <c r="AD32" s="67">
        <v>0</v>
      </c>
      <c r="AE32" s="67">
        <v>0</v>
      </c>
      <c r="AF32" s="67">
        <v>0</v>
      </c>
      <c r="AG32" s="67">
        <v>0</v>
      </c>
      <c r="AH32" s="462" t="s">
        <v>401</v>
      </c>
    </row>
  </sheetData>
  <customSheetViews>
    <customSheetView guid="{133BB3F8-8DD4-4AEF-8CD6-A5FB14681329}" scale="70">
      <pane xSplit="6" ySplit="7" topLeftCell="R8" activePane="bottomRight" state="frozen"/>
      <selection pane="bottomRight" activeCell="AC8" sqref="AC8"/>
      <pageMargins left="0.7" right="0.7" top="0.75" bottom="0.75" header="0.3" footer="0.3"/>
      <pageSetup paperSize="9" orientation="portrait" r:id="rId1"/>
    </customSheetView>
    <customSheetView guid="{7C5A2A36-3D69-43D9-9018-A52C27EC78F9}" scale="70">
      <pane xSplit="6" ySplit="7" topLeftCell="G8" activePane="bottomRight" state="frozen"/>
      <selection pane="bottomRight" activeCell="H42" sqref="H42"/>
      <pageMargins left="0.7" right="0.7" top="0.75" bottom="0.75" header="0.3" footer="0.3"/>
      <pageSetup paperSize="9" orientation="portrait" r:id="rId2"/>
    </customSheetView>
    <customSheetView guid="{2A5A11D4-90C6-4A3E-8165-7D7BD634B22F}" scale="70">
      <pane xSplit="6" ySplit="7" topLeftCell="G8" activePane="bottomRight" state="frozen"/>
      <selection pane="bottomRight" activeCell="H42" sqref="H42"/>
      <pageMargins left="0.7" right="0.7" top="0.75" bottom="0.75" header="0.3" footer="0.3"/>
      <pageSetup paperSize="9" orientation="portrait" r:id="rId3"/>
    </customSheetView>
    <customSheetView guid="{996EC2F0-F6EC-4E63-A83E-34865157BD8D}" scale="70">
      <pane xSplit="6" ySplit="7" topLeftCell="G8" activePane="bottomRight" state="frozen"/>
      <selection pane="bottomRight" activeCell="H42" sqref="H42"/>
      <pageMargins left="0.7" right="0.7" top="0.75" bottom="0.75" header="0.3" footer="0.3"/>
      <pageSetup paperSize="9" orientation="portrait" r:id="rId4"/>
    </customSheetView>
    <customSheetView guid="{AB9978E4-895D-4050-8F07-2484E22632D1}" scale="70">
      <pane xSplit="6" ySplit="7" topLeftCell="G8" activePane="bottomRight" state="frozen"/>
      <selection pane="bottomRight" activeCell="E13" sqref="E13"/>
      <pageMargins left="0.7" right="0.7" top="0.75" bottom="0.75" header="0.3" footer="0.3"/>
      <pageSetup paperSize="9" orientation="portrait" r:id="rId5"/>
    </customSheetView>
    <customSheetView guid="{21E1D423-7B38-4272-8354-09B4DB62C9EB}" scale="70">
      <pane xSplit="6" ySplit="7" topLeftCell="G8" activePane="bottomRight" state="frozen"/>
      <selection pane="bottomRight" activeCell="H42" sqref="H42"/>
      <pageMargins left="0.7" right="0.7" top="0.75" bottom="0.75" header="0.3" footer="0.3"/>
      <pageSetup paperSize="9" orientation="portrait" r:id="rId6"/>
    </customSheetView>
    <customSheetView guid="{2940A182-D1A7-43C5-8D6E-965BED4371B0}" scale="70">
      <pane xSplit="6" ySplit="7" topLeftCell="G8" activePane="bottomRight" state="frozen"/>
      <selection pane="bottomRight" activeCell="H42" sqref="H42"/>
      <pageMargins left="0.7" right="0.7" top="0.75" bottom="0.75" header="0.3" footer="0.3"/>
      <pageSetup paperSize="9" orientation="portrait" r:id="rId7"/>
    </customSheetView>
    <customSheetView guid="{A0E2FBF6-E560-4343-8BE6-217DC798135B}" scale="70">
      <pane xSplit="6" ySplit="7" topLeftCell="G8" activePane="bottomRight" state="frozen"/>
      <selection pane="bottomRight" activeCell="H42" sqref="H42"/>
      <pageMargins left="0.7" right="0.7" top="0.75" bottom="0.75" header="0.3" footer="0.3"/>
      <pageSetup paperSize="9" orientation="portrait" r:id="rId8"/>
    </customSheetView>
    <customSheetView guid="{BBF6B43F-E0FC-43DF-B91C-674F6AB4B556}" scale="70">
      <pane xSplit="6" ySplit="7" topLeftCell="G8" activePane="bottomRight" state="frozen"/>
      <selection pane="bottomRight" activeCell="H42" sqref="H42"/>
      <pageMargins left="0.7" right="0.7" top="0.75" bottom="0.75" header="0.3" footer="0.3"/>
      <pageSetup paperSize="9" orientation="portrait" r:id="rId9"/>
    </customSheetView>
    <customSheetView guid="{C68436F4-AFB3-4D1D-A7C4-56D0C677D68E}" scale="70">
      <pane xSplit="6" ySplit="7" topLeftCell="G8" activePane="bottomRight" state="frozen"/>
      <selection pane="bottomRight" activeCell="H42" sqref="H42"/>
      <pageMargins left="0.7" right="0.7" top="0.75" bottom="0.75" header="0.3" footer="0.3"/>
      <pageSetup paperSize="9" orientation="portrait" r:id="rId10"/>
    </customSheetView>
    <customSheetView guid="{DAEDC989-02E7-4319-8354-59410ACF3F1F}" scale="70">
      <pane xSplit="6" ySplit="7" topLeftCell="G8" activePane="bottomRight" state="frozen"/>
      <selection pane="bottomRight" activeCell="H42" sqref="H42"/>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H42" sqref="H42"/>
      <pageMargins left="0.7" right="0.7" top="0.75" bottom="0.75" header="0.3" footer="0.3"/>
      <pageSetup paperSize="9" orientation="portrait" r:id="rId12"/>
    </customSheetView>
    <customSheetView guid="{C7DC638A-7F60-46C9-A1FB-9ADEAE87F332}" scale="70">
      <pane xSplit="6" ySplit="7" topLeftCell="G8" activePane="bottomRight" state="frozen"/>
      <selection pane="bottomRight" activeCell="H42" sqref="H42"/>
      <pageMargins left="0.7" right="0.7" top="0.75" bottom="0.75" header="0.3" footer="0.3"/>
      <pageSetup paperSize="9" orientation="portrait" r:id="rId13"/>
    </customSheetView>
    <customSheetView guid="{C01DC081-B312-4391-B775-A8CE76216D71}" scale="70">
      <pane xSplit="6" ySplit="7" topLeftCell="G8" activePane="bottomRight" state="frozen"/>
      <selection pane="bottomRight" activeCell="J11" sqref="J11"/>
      <pageMargins left="0.7" right="0.7" top="0.75" bottom="0.75" header="0.3" footer="0.3"/>
      <pageSetup paperSize="9" orientation="portrait" r:id="rId14"/>
    </customSheetView>
    <customSheetView guid="{562453CE-35F5-40A3-AD14-6399D1197C99}" scale="70">
      <pane xSplit="6" ySplit="7" topLeftCell="G8" activePane="bottomRight" state="frozen"/>
      <selection pane="bottomRight" activeCell="H42" sqref="H42"/>
      <pageMargins left="0.7" right="0.7" top="0.75" bottom="0.75" header="0.3" footer="0.3"/>
      <pageSetup paperSize="9" orientation="portrait" r:id="rId15"/>
    </customSheetView>
    <customSheetView guid="{A7640BE7-6438-4196-9A67-AF5B992A1E70}" scale="70">
      <pane xSplit="6" ySplit="7" topLeftCell="G8" activePane="bottomRight" state="frozen"/>
      <selection pane="bottomRight" activeCell="E13" sqref="E13"/>
      <pageMargins left="0.7" right="0.7" top="0.75" bottom="0.75" header="0.3" footer="0.3"/>
      <pageSetup paperSize="9" orientation="portrait" r:id="rId16"/>
    </customSheetView>
    <customSheetView guid="{30B635D9-57DB-47D5-8A0F-4B30DD769960}" scale="70">
      <pane xSplit="6" ySplit="7" topLeftCell="G8" activePane="bottomRight" state="frozen"/>
      <selection pane="bottomRight" activeCell="H42" sqref="H42"/>
      <pageMargins left="0.7" right="0.7" top="0.75" bottom="0.75" header="0.3" footer="0.3"/>
      <pageSetup paperSize="9" orientation="portrait" r:id="rId17"/>
    </customSheetView>
    <customSheetView guid="{20A05A62-CBE8-4538-BBC3-2AD9D3B8FAC0}" scale="70">
      <pane xSplit="6" ySplit="7" topLeftCell="S8" activePane="bottomRight" state="frozen"/>
      <selection pane="bottomRight" activeCell="H42" sqref="H42"/>
      <pageMargins left="0.7" right="0.7" top="0.75" bottom="0.75" header="0.3" footer="0.3"/>
      <pageSetup paperSize="9" orientation="portrait" r:id="rId18"/>
    </customSheetView>
    <customSheetView guid="{C282AA4E-1BB5-4296-9AC6-844C0F88E5FC}" scale="70">
      <pane xSplit="6" ySplit="7" topLeftCell="G8" activePane="bottomRight" state="frozen"/>
      <selection pane="bottomRight" activeCell="H42" sqref="H42"/>
      <pageMargins left="0.7" right="0.7" top="0.75" bottom="0.75" header="0.3" footer="0.3"/>
      <pageSetup paperSize="9" orientation="portrait" r:id="rId19"/>
    </customSheetView>
    <customSheetView guid="{4E221C17-6DAB-4FFA-B18C-35D4D85AF6E8}" scale="70">
      <pane xSplit="6" ySplit="7" topLeftCell="G8" activePane="bottomRight" state="frozen"/>
      <selection pane="bottomRight" activeCell="H42" sqref="H42"/>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H42" sqref="H42"/>
      <pageMargins left="0.7" right="0.7" top="0.75" bottom="0.75" header="0.3" footer="0.3"/>
      <pageSetup paperSize="9" orientation="portrait" r:id="rId21"/>
    </customSheetView>
    <customSheetView guid="{F528EF6A-C113-49B5-B25F-D660F898CBFB}" scale="70">
      <pane xSplit="6" ySplit="7" topLeftCell="G8" activePane="bottomRight" state="frozen"/>
      <selection pane="bottomRight" activeCell="H42" sqref="H42"/>
      <pageMargins left="0.7" right="0.7" top="0.75" bottom="0.75" header="0.3" footer="0.3"/>
      <pageSetup paperSize="9" orientation="portrait" r:id="rId22"/>
    </customSheetView>
    <customSheetView guid="{B6B60ED6-A6CC-4DA7-A8CA-5E6DB52D5A87}" scale="70">
      <pane xSplit="6" ySplit="7" topLeftCell="G8" activePane="bottomRight" state="frozen"/>
      <selection pane="bottomRight" activeCell="H42" sqref="H42"/>
      <pageMargins left="0.7" right="0.7" top="0.75" bottom="0.75" header="0.3" footer="0.3"/>
      <pageSetup paperSize="9" orientation="portrait" r:id="rId23"/>
    </customSheetView>
    <customSheetView guid="{A4AF2100-C59D-4F60-9EAB-56D9103463F7}" scale="70">
      <pane xSplit="6" ySplit="7" topLeftCell="G8" activePane="bottomRight" state="frozen"/>
      <selection pane="bottomRight" activeCell="H42" sqref="H42"/>
      <pageMargins left="0.7" right="0.7" top="0.75" bottom="0.75" header="0.3" footer="0.3"/>
      <pageSetup paperSize="9" orientation="portrait" r:id="rId24"/>
    </customSheetView>
    <customSheetView guid="{EA46B61D-849C-4795-A4FF-F8F1740022EB}" scale="70">
      <pane xSplit="6" ySplit="7" topLeftCell="G8" activePane="bottomRight" state="frozen"/>
      <selection pane="bottomRight" activeCell="H42" sqref="H42"/>
      <pageMargins left="0.7" right="0.7" top="0.75" bottom="0.75" header="0.3" footer="0.3"/>
      <pageSetup paperSize="9" orientation="portrait" r:id="rId25"/>
    </customSheetView>
    <customSheetView guid="{B686A221-D885-4536-BEAC-E7F4BBC02150}" scale="70">
      <pane xSplit="6" ySplit="7" topLeftCell="G8" activePane="bottomRight" state="frozen"/>
      <selection pane="bottomRight" activeCell="H42" sqref="H42"/>
      <pageMargins left="0.7" right="0.7" top="0.75" bottom="0.75" header="0.3" footer="0.3"/>
      <pageSetup paperSize="9" orientation="portrait" r:id="rId26"/>
    </customSheetView>
    <customSheetView guid="{60A1F930-4BEC-460A-8E14-01E47F6DD055}" scale="70">
      <pane xSplit="6" ySplit="4" topLeftCell="G8" activePane="bottomRight" state="frozen"/>
      <selection pane="bottomRight" activeCell="H42" sqref="H42"/>
      <pageMargins left="0.7" right="0.7" top="0.75" bottom="0.75" header="0.3" footer="0.3"/>
      <pageSetup paperSize="9" orientation="portrait" r:id="rId27"/>
    </customSheetView>
    <customSheetView guid="{5DF2C78B-5EE4-439D-8D72-8D3A913B65F9}" scale="70">
      <pane xSplit="6" ySplit="7" topLeftCell="G8" activePane="bottomRight" state="frozen"/>
      <selection pane="bottomRight" activeCell="H42" sqref="H42"/>
      <pageMargins left="0.7" right="0.7" top="0.75" bottom="0.75" header="0.3" footer="0.3"/>
      <pageSetup paperSize="9" orientation="portrait" r:id="rId28"/>
    </customSheetView>
  </customSheetViews>
  <mergeCells count="48">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31:A32"/>
    <mergeCell ref="B31:B32"/>
    <mergeCell ref="B19:AG19"/>
    <mergeCell ref="A20:A21"/>
    <mergeCell ref="B20:B21"/>
    <mergeCell ref="A22:A23"/>
    <mergeCell ref="B22:B23"/>
    <mergeCell ref="A24:A25"/>
    <mergeCell ref="B24:B25"/>
    <mergeCell ref="A26:A27"/>
    <mergeCell ref="B26:B27"/>
    <mergeCell ref="B28:AG28"/>
    <mergeCell ref="A29:A30"/>
    <mergeCell ref="B29:B30"/>
  </mergeCells>
  <pageMargins left="0.7" right="0.7" top="0.75" bottom="0.75" header="0.3" footer="0.3"/>
  <pageSetup paperSize="9" orientation="portrait" r:id="rId2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5"/>
  <sheetViews>
    <sheetView zoomScale="70" zoomScaleNormal="70" workbookViewId="0">
      <pane xSplit="6" ySplit="7" topLeftCell="G8" activePane="bottomRight" state="frozen"/>
      <selection pane="topRight" activeCell="G1" sqref="G1"/>
      <selection pane="bottomLeft" activeCell="A8" sqref="A8"/>
      <selection pane="bottomRight" activeCell="C14" sqref="C14"/>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512" t="s">
        <v>24</v>
      </c>
      <c r="D2" s="512"/>
      <c r="E2" s="512"/>
      <c r="F2" s="512"/>
      <c r="G2" s="512"/>
      <c r="H2" s="512"/>
      <c r="I2" s="512"/>
      <c r="J2" s="512"/>
      <c r="K2" s="512"/>
      <c r="L2" s="512"/>
      <c r="M2" s="512"/>
      <c r="N2" s="512"/>
      <c r="O2" s="512"/>
      <c r="P2" s="512"/>
      <c r="Q2" s="512"/>
      <c r="R2" s="512"/>
      <c r="S2" s="512"/>
      <c r="T2" s="93"/>
      <c r="U2" s="93"/>
      <c r="V2" s="93"/>
      <c r="W2" s="93"/>
      <c r="X2" s="93"/>
      <c r="Y2" s="93"/>
      <c r="Z2" s="93"/>
      <c r="AA2" s="93"/>
      <c r="AB2" s="93"/>
      <c r="AC2" s="93"/>
      <c r="AD2" s="93"/>
      <c r="AE2" s="93"/>
      <c r="AF2" s="93"/>
      <c r="AG2" s="93"/>
      <c r="AH2" s="93"/>
    </row>
    <row r="3" spans="1:35" ht="36.75" customHeight="1" x14ac:dyDescent="0.25">
      <c r="A3" s="92"/>
      <c r="B3" s="92"/>
      <c r="C3" s="513" t="s">
        <v>158</v>
      </c>
      <c r="D3" s="513"/>
      <c r="E3" s="513"/>
      <c r="F3" s="513"/>
      <c r="G3" s="513"/>
      <c r="H3" s="513"/>
      <c r="I3" s="513"/>
      <c r="J3" s="513"/>
      <c r="K3" s="513"/>
      <c r="L3" s="513"/>
      <c r="M3" s="513"/>
      <c r="N3" s="513"/>
      <c r="O3" s="513"/>
      <c r="P3" s="513"/>
      <c r="Q3" s="513"/>
      <c r="R3" s="513"/>
      <c r="S3" s="513"/>
      <c r="T3" s="94"/>
      <c r="U3" s="94"/>
      <c r="V3" s="94"/>
      <c r="W3" s="94"/>
      <c r="X3" s="94"/>
      <c r="Y3" s="94"/>
      <c r="Z3" s="94"/>
      <c r="AA3" s="94"/>
      <c r="AB3" s="94"/>
      <c r="AC3" s="94"/>
      <c r="AD3" s="95"/>
      <c r="AE3" s="95"/>
      <c r="AF3" s="95"/>
      <c r="AG3" s="37" t="s">
        <v>0</v>
      </c>
      <c r="AH3" s="95"/>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39">
        <v>45962</v>
      </c>
      <c r="F6" s="39">
        <v>45962</v>
      </c>
      <c r="G6" s="282">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581"/>
      <c r="B8" s="527" t="s">
        <v>23</v>
      </c>
      <c r="C8" s="57" t="s">
        <v>20</v>
      </c>
      <c r="D8" s="82">
        <f>D9+D10+D11</f>
        <v>170785.88759999999</v>
      </c>
      <c r="E8" s="58">
        <f>E9+E10+E11</f>
        <v>149681.03552</v>
      </c>
      <c r="F8" s="58">
        <f>F9+F10+F11</f>
        <v>136440.51489999998</v>
      </c>
      <c r="G8" s="320">
        <f>G9+G10+G11</f>
        <v>136440.51489999998</v>
      </c>
      <c r="H8" s="58">
        <f>IFERROR(G8/D8*100,0)</f>
        <v>79.889806363602602</v>
      </c>
      <c r="I8" s="58">
        <f>IFERROR(G8/E8*100,0)</f>
        <v>91.154176229472398</v>
      </c>
      <c r="J8" s="59">
        <f t="shared" ref="J8:AG8" si="0">J9+J10+J11</f>
        <v>20558.323859999997</v>
      </c>
      <c r="K8" s="59">
        <f t="shared" si="0"/>
        <v>11175.61418</v>
      </c>
      <c r="L8" s="59">
        <f t="shared" si="0"/>
        <v>14928.411610000001</v>
      </c>
      <c r="M8" s="59">
        <f t="shared" si="0"/>
        <v>14859.00542</v>
      </c>
      <c r="N8" s="59">
        <f t="shared" si="0"/>
        <v>10323.5807</v>
      </c>
      <c r="O8" s="59">
        <f t="shared" si="0"/>
        <v>12135.214739999999</v>
      </c>
      <c r="P8" s="59">
        <f t="shared" si="0"/>
        <v>20897.991960000003</v>
      </c>
      <c r="Q8" s="59">
        <f t="shared" si="0"/>
        <v>12923.381359999999</v>
      </c>
      <c r="R8" s="59">
        <f t="shared" si="0"/>
        <v>13085.94442</v>
      </c>
      <c r="S8" s="59">
        <f t="shared" si="0"/>
        <v>13499.54969</v>
      </c>
      <c r="T8" s="59">
        <f t="shared" si="0"/>
        <v>11119.377989999999</v>
      </c>
      <c r="U8" s="59">
        <f t="shared" si="0"/>
        <v>14025.44051</v>
      </c>
      <c r="V8" s="59">
        <f t="shared" si="0"/>
        <v>22388.537020000003</v>
      </c>
      <c r="W8" s="59">
        <f t="shared" si="0"/>
        <v>15880.212590000001</v>
      </c>
      <c r="X8" s="59">
        <f t="shared" si="0"/>
        <v>11987.984</v>
      </c>
      <c r="Y8" s="59">
        <f t="shared" si="0"/>
        <v>11526.84498</v>
      </c>
      <c r="Z8" s="59">
        <f t="shared" si="0"/>
        <v>9848.1816400000007</v>
      </c>
      <c r="AA8" s="59">
        <f t="shared" si="0"/>
        <v>17379.393640000002</v>
      </c>
      <c r="AB8" s="59">
        <f t="shared" si="0"/>
        <v>14542.70232</v>
      </c>
      <c r="AC8" s="59">
        <f t="shared" si="0"/>
        <v>13035.85779</v>
      </c>
      <c r="AD8" s="59">
        <f t="shared" si="0"/>
        <v>10195.749889999999</v>
      </c>
      <c r="AE8" s="59">
        <f t="shared" si="0"/>
        <v>0</v>
      </c>
      <c r="AF8" s="59">
        <f t="shared" si="0"/>
        <v>10909.10219</v>
      </c>
      <c r="AG8" s="59">
        <f t="shared" si="0"/>
        <v>0</v>
      </c>
      <c r="AH8" s="60"/>
    </row>
    <row r="9" spans="1:35" s="21" customFormat="1" ht="31.5" customHeight="1" x14ac:dyDescent="0.25">
      <c r="A9" s="582"/>
      <c r="B9" s="528"/>
      <c r="C9" s="61" t="s">
        <v>52</v>
      </c>
      <c r="D9" s="62">
        <f>SUM(J9,L9,N9,P9,R9,T9,V9,X9,Z9,AB9,AD9,AF9)</f>
        <v>6378.9999999999991</v>
      </c>
      <c r="E9" s="62">
        <f>J9+L9+N9+P9+R9+T9+V9+X9+Z9+AB9</f>
        <v>5434.6129999999994</v>
      </c>
      <c r="F9" s="62">
        <f>G9</f>
        <v>5300.8151300000009</v>
      </c>
      <c r="G9" s="62">
        <f>SUM(K9,M9,O9,Q9,S9,U9,W9,Y9,AA9,AC9,AE9,AG9)</f>
        <v>5300.8151300000009</v>
      </c>
      <c r="H9" s="62">
        <f>IFERROR(G9/D9*100,0)</f>
        <v>83.097901395203039</v>
      </c>
      <c r="I9" s="62">
        <f>IFERROR(G9/E9*100,0)</f>
        <v>97.538042359225969</v>
      </c>
      <c r="J9" s="59">
        <f t="shared" ref="J9:AG9" si="1">J19</f>
        <v>533.65200000000004</v>
      </c>
      <c r="K9" s="59">
        <f t="shared" si="1"/>
        <v>407.34699999999998</v>
      </c>
      <c r="L9" s="59">
        <f t="shared" si="1"/>
        <v>734.69100000000003</v>
      </c>
      <c r="M9" s="59">
        <f t="shared" si="1"/>
        <v>781.77151000000003</v>
      </c>
      <c r="N9" s="59">
        <f t="shared" si="1"/>
        <v>326.40600000000001</v>
      </c>
      <c r="O9" s="59">
        <f t="shared" si="1"/>
        <v>348.72284000000002</v>
      </c>
      <c r="P9" s="59">
        <f t="shared" si="1"/>
        <v>614.40700000000004</v>
      </c>
      <c r="Q9" s="59">
        <f t="shared" si="1"/>
        <v>453.94542000000001</v>
      </c>
      <c r="R9" s="59">
        <f t="shared" si="1"/>
        <v>649.43899999999996</v>
      </c>
      <c r="S9" s="59">
        <f t="shared" si="1"/>
        <v>678.62918000000002</v>
      </c>
      <c r="T9" s="59">
        <f t="shared" si="1"/>
        <v>296.709</v>
      </c>
      <c r="U9" s="59">
        <f t="shared" si="1"/>
        <v>427.98540000000003</v>
      </c>
      <c r="V9" s="59">
        <f t="shared" si="1"/>
        <v>546.70699999999999</v>
      </c>
      <c r="W9" s="59">
        <f t="shared" si="1"/>
        <v>488.57035000000002</v>
      </c>
      <c r="X9" s="59">
        <f t="shared" si="1"/>
        <v>705.66300000000001</v>
      </c>
      <c r="Y9" s="59">
        <f t="shared" si="1"/>
        <v>808.19493999999997</v>
      </c>
      <c r="Z9" s="59">
        <f t="shared" si="1"/>
        <v>642.37</v>
      </c>
      <c r="AA9" s="59">
        <f t="shared" si="1"/>
        <v>597.96470999999997</v>
      </c>
      <c r="AB9" s="59">
        <f t="shared" si="1"/>
        <v>384.56900000000002</v>
      </c>
      <c r="AC9" s="59">
        <f t="shared" si="1"/>
        <v>307.68378000000001</v>
      </c>
      <c r="AD9" s="59">
        <f t="shared" si="1"/>
        <v>464.73599999999999</v>
      </c>
      <c r="AE9" s="59">
        <f t="shared" si="1"/>
        <v>0</v>
      </c>
      <c r="AF9" s="59">
        <f t="shared" si="1"/>
        <v>479.65100000000001</v>
      </c>
      <c r="AG9" s="59">
        <f t="shared" si="1"/>
        <v>0</v>
      </c>
      <c r="AH9" s="60"/>
    </row>
    <row r="10" spans="1:35" s="21" customFormat="1" ht="31.5" customHeight="1" x14ac:dyDescent="0.25">
      <c r="A10" s="582"/>
      <c r="B10" s="528"/>
      <c r="C10" s="61" t="s">
        <v>22</v>
      </c>
      <c r="D10" s="62">
        <f>SUM(J10,L10,N10,P10,R10,T10,V10,X10,Z10,AB10,AD10,AF10)</f>
        <v>2559.7999899999995</v>
      </c>
      <c r="E10" s="62">
        <f>J10+L10+N10+P10+R10+T10+V10+X10+Z10+AB10</f>
        <v>2382.2629899999997</v>
      </c>
      <c r="F10" s="62">
        <f>G10</f>
        <v>1650.98758</v>
      </c>
      <c r="G10" s="62">
        <f>SUM(K10,M10,O10,Q10,S10,U10,W10,Y10,AA10,AC10,AE10,AG10)</f>
        <v>1650.98758</v>
      </c>
      <c r="H10" s="62">
        <f>IFERROR(G10/D10*100,0)</f>
        <v>64.49674140361256</v>
      </c>
      <c r="I10" s="62">
        <f>IFERROR(G10/E10*100,0)</f>
        <v>69.303329940075173</v>
      </c>
      <c r="J10" s="59">
        <f t="shared" ref="J10:AG10" si="2">J20</f>
        <v>277.38954000000001</v>
      </c>
      <c r="K10" s="59">
        <f t="shared" si="2"/>
        <v>204.99442999999999</v>
      </c>
      <c r="L10" s="59">
        <f t="shared" si="2"/>
        <v>19</v>
      </c>
      <c r="M10" s="59">
        <f t="shared" si="2"/>
        <v>12.918229999999999</v>
      </c>
      <c r="N10" s="59">
        <f t="shared" si="2"/>
        <v>151.1</v>
      </c>
      <c r="O10" s="59">
        <f t="shared" si="2"/>
        <v>223.33718999999999</v>
      </c>
      <c r="P10" s="59">
        <f t="shared" si="2"/>
        <v>201.77414999999999</v>
      </c>
      <c r="Q10" s="59">
        <f t="shared" si="2"/>
        <v>199.33436</v>
      </c>
      <c r="R10" s="59">
        <f t="shared" si="2"/>
        <v>177.14</v>
      </c>
      <c r="S10" s="59">
        <f t="shared" si="2"/>
        <v>0</v>
      </c>
      <c r="T10" s="59">
        <f t="shared" si="2"/>
        <v>324.19898999999998</v>
      </c>
      <c r="U10" s="59">
        <f t="shared" si="2"/>
        <v>340.09037000000001</v>
      </c>
      <c r="V10" s="59">
        <f t="shared" si="2"/>
        <v>385.71015</v>
      </c>
      <c r="W10" s="59">
        <f t="shared" si="2"/>
        <v>210.89608000000001</v>
      </c>
      <c r="X10" s="59">
        <f t="shared" si="2"/>
        <v>225</v>
      </c>
      <c r="Y10" s="59">
        <f t="shared" si="2"/>
        <v>65.975800000000007</v>
      </c>
      <c r="Z10" s="59">
        <f t="shared" si="2"/>
        <v>30</v>
      </c>
      <c r="AA10" s="59">
        <f t="shared" si="2"/>
        <v>78.29853</v>
      </c>
      <c r="AB10" s="59">
        <f t="shared" si="2"/>
        <v>590.95015999999998</v>
      </c>
      <c r="AC10" s="59">
        <f t="shared" si="2"/>
        <v>315.14258999999998</v>
      </c>
      <c r="AD10" s="59">
        <f t="shared" si="2"/>
        <v>66.7</v>
      </c>
      <c r="AE10" s="59">
        <f t="shared" si="2"/>
        <v>0</v>
      </c>
      <c r="AF10" s="59">
        <f t="shared" si="2"/>
        <v>110.837</v>
      </c>
      <c r="AG10" s="59">
        <f t="shared" si="2"/>
        <v>0</v>
      </c>
      <c r="AH10" s="60"/>
    </row>
    <row r="11" spans="1:35" s="22" customFormat="1" ht="38.25" customHeight="1" x14ac:dyDescent="0.25">
      <c r="A11" s="582"/>
      <c r="B11" s="528"/>
      <c r="C11" s="61" t="s">
        <v>21</v>
      </c>
      <c r="D11" s="62">
        <f>SUM(J11,L11,N11,P11,R11,T11,V11,X11,Z11,AB11,AD11,AF11)</f>
        <v>161847.08760999999</v>
      </c>
      <c r="E11" s="62">
        <f>J11+L11+N11+P11+R11+T11+V11+X11+Z11+AB11</f>
        <v>141864.15953</v>
      </c>
      <c r="F11" s="62">
        <f>G11</f>
        <v>129488.71218999998</v>
      </c>
      <c r="G11" s="62">
        <f>SUM(K11,M11,O11,Q11,S11,U11,W11,Y11,AA11,AC11,AE11,AG11)</f>
        <v>129488.71218999998</v>
      </c>
      <c r="H11" s="62">
        <f>IFERROR(G11/D11*100,0)</f>
        <v>80.00682255217751</v>
      </c>
      <c r="I11" s="62">
        <f>IFERROR(G11/E11*100,0)</f>
        <v>91.276551187417425</v>
      </c>
      <c r="J11" s="62">
        <f t="shared" ref="J11:AG11" si="3">J14+J17+J21+J24</f>
        <v>19747.282319999998</v>
      </c>
      <c r="K11" s="62">
        <f t="shared" si="3"/>
        <v>10563.27275</v>
      </c>
      <c r="L11" s="62">
        <f t="shared" si="3"/>
        <v>14174.72061</v>
      </c>
      <c r="M11" s="62">
        <f t="shared" si="3"/>
        <v>14064.31568</v>
      </c>
      <c r="N11" s="62">
        <f t="shared" si="3"/>
        <v>9846.074700000001</v>
      </c>
      <c r="O11" s="62">
        <f t="shared" si="3"/>
        <v>11563.154709999999</v>
      </c>
      <c r="P11" s="62">
        <f t="shared" si="3"/>
        <v>20081.810810000003</v>
      </c>
      <c r="Q11" s="62">
        <f t="shared" si="3"/>
        <v>12270.101579999999</v>
      </c>
      <c r="R11" s="62">
        <f t="shared" si="3"/>
        <v>12259.36542</v>
      </c>
      <c r="S11" s="62">
        <f t="shared" si="3"/>
        <v>12820.92051</v>
      </c>
      <c r="T11" s="62">
        <f t="shared" si="3"/>
        <v>10498.47</v>
      </c>
      <c r="U11" s="62">
        <f t="shared" si="3"/>
        <v>13257.364740000001</v>
      </c>
      <c r="V11" s="62">
        <f t="shared" si="3"/>
        <v>21456.119870000002</v>
      </c>
      <c r="W11" s="62">
        <f t="shared" si="3"/>
        <v>15180.746160000001</v>
      </c>
      <c r="X11" s="62">
        <f t="shared" si="3"/>
        <v>11057.321</v>
      </c>
      <c r="Y11" s="62">
        <f t="shared" si="3"/>
        <v>10652.67424</v>
      </c>
      <c r="Z11" s="62">
        <f t="shared" si="3"/>
        <v>9175.8116399999999</v>
      </c>
      <c r="AA11" s="62">
        <f t="shared" si="3"/>
        <v>16703.130400000002</v>
      </c>
      <c r="AB11" s="62">
        <f t="shared" si="3"/>
        <v>13567.18316</v>
      </c>
      <c r="AC11" s="62">
        <f t="shared" si="3"/>
        <v>12413.031419999999</v>
      </c>
      <c r="AD11" s="62">
        <f t="shared" si="3"/>
        <v>9664.3138899999994</v>
      </c>
      <c r="AE11" s="62">
        <f t="shared" si="3"/>
        <v>0</v>
      </c>
      <c r="AF11" s="62">
        <f t="shared" si="3"/>
        <v>10318.61419</v>
      </c>
      <c r="AG11" s="62">
        <f t="shared" si="3"/>
        <v>0</v>
      </c>
      <c r="AH11" s="64"/>
    </row>
    <row r="12" spans="1:35" s="26" customFormat="1" ht="18.75" customHeight="1" x14ac:dyDescent="0.25">
      <c r="A12" s="132" t="s">
        <v>151</v>
      </c>
      <c r="B12" s="596" t="s">
        <v>159</v>
      </c>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8"/>
      <c r="AH12" s="75"/>
    </row>
    <row r="13" spans="1:35" s="21" customFormat="1" ht="148.5" customHeight="1" x14ac:dyDescent="0.25">
      <c r="A13" s="581" t="s">
        <v>152</v>
      </c>
      <c r="B13" s="527" t="s">
        <v>160</v>
      </c>
      <c r="C13" s="57" t="s">
        <v>20</v>
      </c>
      <c r="D13" s="58">
        <f>D14</f>
        <v>899.2</v>
      </c>
      <c r="E13" s="58">
        <f>E14</f>
        <v>899.2</v>
      </c>
      <c r="F13" s="58">
        <f>F14</f>
        <v>347.95555999999999</v>
      </c>
      <c r="G13" s="82">
        <f>G14</f>
        <v>347.95555999999999</v>
      </c>
      <c r="H13" s="58">
        <f>IFERROR(G13/D13*100,0)</f>
        <v>38.696125444839858</v>
      </c>
      <c r="I13" s="58">
        <f>IFERROR(G13/E13*100,0)</f>
        <v>38.696125444839858</v>
      </c>
      <c r="J13" s="301">
        <f t="shared" ref="J13:AG13" si="4">J14</f>
        <v>0</v>
      </c>
      <c r="K13" s="301">
        <f>K14</f>
        <v>0</v>
      </c>
      <c r="L13" s="301">
        <f t="shared" si="4"/>
        <v>0</v>
      </c>
      <c r="M13" s="301">
        <f t="shared" si="4"/>
        <v>0</v>
      </c>
      <c r="N13" s="301">
        <f t="shared" si="4"/>
        <v>400</v>
      </c>
      <c r="O13" s="301">
        <f t="shared" si="4"/>
        <v>299</v>
      </c>
      <c r="P13" s="301">
        <f t="shared" si="4"/>
        <v>0</v>
      </c>
      <c r="Q13" s="301">
        <f t="shared" si="4"/>
        <v>0</v>
      </c>
      <c r="R13" s="301">
        <f t="shared" si="4"/>
        <v>0</v>
      </c>
      <c r="S13" s="301">
        <f t="shared" si="4"/>
        <v>30.94172</v>
      </c>
      <c r="T13" s="301">
        <f t="shared" si="4"/>
        <v>200.2</v>
      </c>
      <c r="U13" s="301">
        <f t="shared" si="4"/>
        <v>8.2511600000000005</v>
      </c>
      <c r="V13" s="301">
        <f t="shared" si="4"/>
        <v>0</v>
      </c>
      <c r="W13" s="301">
        <f t="shared" si="4"/>
        <v>0</v>
      </c>
      <c r="X13" s="301">
        <f t="shared" si="4"/>
        <v>0</v>
      </c>
      <c r="Y13" s="301">
        <f t="shared" si="4"/>
        <v>0</v>
      </c>
      <c r="Z13" s="301">
        <f t="shared" si="4"/>
        <v>0</v>
      </c>
      <c r="AA13" s="301">
        <f t="shared" si="4"/>
        <v>0</v>
      </c>
      <c r="AB13" s="301">
        <f t="shared" si="4"/>
        <v>299</v>
      </c>
      <c r="AC13" s="301">
        <f t="shared" si="4"/>
        <v>9.7626799999999996</v>
      </c>
      <c r="AD13" s="301">
        <f t="shared" si="4"/>
        <v>0</v>
      </c>
      <c r="AE13" s="301">
        <f t="shared" si="4"/>
        <v>0</v>
      </c>
      <c r="AF13" s="301">
        <f t="shared" si="4"/>
        <v>0</v>
      </c>
      <c r="AG13" s="301">
        <f t="shared" si="4"/>
        <v>0</v>
      </c>
      <c r="AH13" s="501" t="s">
        <v>446</v>
      </c>
      <c r="AI13" s="23"/>
    </row>
    <row r="14" spans="1:35" s="21" customFormat="1" ht="105.75" customHeight="1" x14ac:dyDescent="0.25">
      <c r="A14" s="583"/>
      <c r="B14" s="529"/>
      <c r="C14" s="295" t="s">
        <v>21</v>
      </c>
      <c r="D14" s="62">
        <f>SUM(J14,L14,N14,P14,R14,T14,V14,X14,Z14,AB14,AD14,AF14)</f>
        <v>899.2</v>
      </c>
      <c r="E14" s="62">
        <f>J14+L14+N14+P14+R14+T14+V14+X14+Z14+AB14</f>
        <v>899.2</v>
      </c>
      <c r="F14" s="62">
        <f>G14</f>
        <v>347.95555999999999</v>
      </c>
      <c r="G14" s="62">
        <f>SUM(K14,M14,O14,Q14,S14,U14,W14,Y14,AA14,AC14,AE14,AG14)</f>
        <v>347.95555999999999</v>
      </c>
      <c r="H14" s="62">
        <f>IFERROR(G14/D14*100,0)</f>
        <v>38.696125444839858</v>
      </c>
      <c r="I14" s="62">
        <f>IFERROR(G14/E14*100,0)</f>
        <v>38.696125444839858</v>
      </c>
      <c r="J14" s="287">
        <v>0</v>
      </c>
      <c r="K14" s="287">
        <v>0</v>
      </c>
      <c r="L14" s="287">
        <v>0</v>
      </c>
      <c r="M14" s="287">
        <v>0</v>
      </c>
      <c r="N14" s="287">
        <v>400</v>
      </c>
      <c r="O14" s="287">
        <v>299</v>
      </c>
      <c r="P14" s="287">
        <v>0</v>
      </c>
      <c r="Q14" s="287">
        <v>0</v>
      </c>
      <c r="R14" s="287">
        <v>0</v>
      </c>
      <c r="S14" s="287">
        <v>30.94172</v>
      </c>
      <c r="T14" s="287">
        <v>200.2</v>
      </c>
      <c r="U14" s="287">
        <v>8.2511600000000005</v>
      </c>
      <c r="V14" s="287">
        <v>0</v>
      </c>
      <c r="W14" s="287">
        <v>0</v>
      </c>
      <c r="X14" s="287">
        <v>0</v>
      </c>
      <c r="Y14" s="287">
        <v>0</v>
      </c>
      <c r="Z14" s="287">
        <v>0</v>
      </c>
      <c r="AA14" s="287">
        <v>0</v>
      </c>
      <c r="AB14" s="287">
        <v>299</v>
      </c>
      <c r="AC14" s="287">
        <v>9.7626799999999996</v>
      </c>
      <c r="AD14" s="287">
        <v>0</v>
      </c>
      <c r="AE14" s="287">
        <v>0</v>
      </c>
      <c r="AF14" s="287">
        <v>0</v>
      </c>
      <c r="AG14" s="287">
        <v>0</v>
      </c>
      <c r="AH14" s="60"/>
      <c r="AI14" s="23"/>
    </row>
    <row r="15" spans="1:35" s="26" customFormat="1" ht="18.75" customHeight="1" x14ac:dyDescent="0.25">
      <c r="A15" s="132" t="s">
        <v>153</v>
      </c>
      <c r="B15" s="596" t="s">
        <v>161</v>
      </c>
      <c r="C15" s="597"/>
      <c r="D15" s="597"/>
      <c r="E15" s="597"/>
      <c r="F15" s="597"/>
      <c r="G15" s="597"/>
      <c r="H15" s="597"/>
      <c r="I15" s="597"/>
      <c r="J15" s="597"/>
      <c r="K15" s="597"/>
      <c r="L15" s="597"/>
      <c r="M15" s="597"/>
      <c r="N15" s="597"/>
      <c r="O15" s="597"/>
      <c r="P15" s="597"/>
      <c r="Q15" s="597"/>
      <c r="R15" s="597"/>
      <c r="S15" s="597"/>
      <c r="T15" s="597"/>
      <c r="U15" s="597"/>
      <c r="V15" s="597"/>
      <c r="W15" s="597"/>
      <c r="X15" s="597"/>
      <c r="Y15" s="597"/>
      <c r="Z15" s="597"/>
      <c r="AA15" s="597"/>
      <c r="AB15" s="597"/>
      <c r="AC15" s="597"/>
      <c r="AD15" s="597"/>
      <c r="AE15" s="597"/>
      <c r="AF15" s="597"/>
      <c r="AG15" s="598"/>
      <c r="AH15" s="75"/>
    </row>
    <row r="16" spans="1:35" s="21" customFormat="1" ht="126.75" customHeight="1" x14ac:dyDescent="0.25">
      <c r="A16" s="581" t="s">
        <v>162</v>
      </c>
      <c r="B16" s="527" t="s">
        <v>163</v>
      </c>
      <c r="C16" s="57" t="s">
        <v>20</v>
      </c>
      <c r="D16" s="58">
        <f>D17</f>
        <v>38352.399720000009</v>
      </c>
      <c r="E16" s="58">
        <f>E17</f>
        <v>32163.889530000004</v>
      </c>
      <c r="F16" s="58">
        <f>F17</f>
        <v>26428.900290000001</v>
      </c>
      <c r="G16" s="320">
        <f>G17</f>
        <v>26428.900290000001</v>
      </c>
      <c r="H16" s="58">
        <f t="shared" ref="H16:H21" si="5">IFERROR(G16/D16*100,0)</f>
        <v>68.910682207501765</v>
      </c>
      <c r="I16" s="58">
        <f t="shared" ref="I16:I21" si="6">IFERROR(G16/E16*100,0)</f>
        <v>82.16947849341777</v>
      </c>
      <c r="J16" s="301">
        <f t="shared" ref="J16:AG16" si="7">J17</f>
        <v>2602.25432</v>
      </c>
      <c r="K16" s="301">
        <f t="shared" si="7"/>
        <v>1757.0483200000001</v>
      </c>
      <c r="L16" s="301">
        <f t="shared" si="7"/>
        <v>3489.15461</v>
      </c>
      <c r="M16" s="301">
        <f t="shared" si="7"/>
        <v>1902.97363</v>
      </c>
      <c r="N16" s="301">
        <f t="shared" si="7"/>
        <v>1227.7879399999999</v>
      </c>
      <c r="O16" s="301">
        <f t="shared" si="7"/>
        <v>1444.02099</v>
      </c>
      <c r="P16" s="301">
        <f t="shared" si="7"/>
        <v>7711.54457</v>
      </c>
      <c r="Q16" s="301">
        <f t="shared" si="7"/>
        <v>3280.39374</v>
      </c>
      <c r="R16" s="301">
        <f t="shared" si="7"/>
        <v>1852.07942</v>
      </c>
      <c r="S16" s="301">
        <f t="shared" si="7"/>
        <v>2319.4198500000002</v>
      </c>
      <c r="T16" s="301">
        <f t="shared" si="7"/>
        <v>2081.7179999999998</v>
      </c>
      <c r="U16" s="301">
        <f t="shared" si="7"/>
        <v>3366.8392600000002</v>
      </c>
      <c r="V16" s="301">
        <f t="shared" si="7"/>
        <v>7885.4738699999998</v>
      </c>
      <c r="W16" s="301">
        <f t="shared" si="7"/>
        <v>4531.6786300000003</v>
      </c>
      <c r="X16" s="301">
        <f t="shared" si="7"/>
        <v>1056.258</v>
      </c>
      <c r="Y16" s="301">
        <f t="shared" si="7"/>
        <v>2488.1683400000002</v>
      </c>
      <c r="Z16" s="301">
        <f t="shared" si="7"/>
        <v>907.79963999999995</v>
      </c>
      <c r="AA16" s="301">
        <f t="shared" si="7"/>
        <v>2478.7598600000001</v>
      </c>
      <c r="AB16" s="301">
        <f t="shared" si="7"/>
        <v>3349.81916</v>
      </c>
      <c r="AC16" s="301">
        <f t="shared" si="7"/>
        <v>2859.5976700000001</v>
      </c>
      <c r="AD16" s="301">
        <f t="shared" si="7"/>
        <v>820.1</v>
      </c>
      <c r="AE16" s="301">
        <f t="shared" si="7"/>
        <v>0</v>
      </c>
      <c r="AF16" s="301">
        <f t="shared" si="7"/>
        <v>5368.4101900000005</v>
      </c>
      <c r="AG16" s="301">
        <f t="shared" si="7"/>
        <v>0</v>
      </c>
      <c r="AH16" s="502" t="s">
        <v>447</v>
      </c>
      <c r="AI16" s="20"/>
    </row>
    <row r="17" spans="1:35" s="22" customFormat="1" ht="158.25" customHeight="1" x14ac:dyDescent="0.25">
      <c r="A17" s="583"/>
      <c r="B17" s="529"/>
      <c r="C17" s="295" t="s">
        <v>21</v>
      </c>
      <c r="D17" s="62">
        <f>SUM(J17,L17,N17,P17,R17,T17,V17,X17,Z17,AB17,AD17,AF17)</f>
        <v>38352.399720000009</v>
      </c>
      <c r="E17" s="62">
        <f>J17+L17+N17+P17+R17+T17+V17+X17+Z17+AB17</f>
        <v>32163.889530000004</v>
      </c>
      <c r="F17" s="62">
        <f>G17</f>
        <v>26428.900290000001</v>
      </c>
      <c r="G17" s="62">
        <f>SUM(K17,M17,O17,Q17,S17,U17,W17,Y17,AA17,AC17,AE17,AG17)</f>
        <v>26428.900290000001</v>
      </c>
      <c r="H17" s="286">
        <f t="shared" si="5"/>
        <v>68.910682207501765</v>
      </c>
      <c r="I17" s="286">
        <f t="shared" si="6"/>
        <v>82.16947849341777</v>
      </c>
      <c r="J17" s="287">
        <v>2602.25432</v>
      </c>
      <c r="K17" s="287">
        <v>1757.0483200000001</v>
      </c>
      <c r="L17" s="287">
        <f>3282.855+206.29961</f>
        <v>3489.15461</v>
      </c>
      <c r="M17" s="287">
        <f>1696.67402+206.29961</f>
        <v>1902.97363</v>
      </c>
      <c r="N17" s="287">
        <f>1116.752+111.03594</f>
        <v>1227.7879399999999</v>
      </c>
      <c r="O17" s="287">
        <f>1332.98505+111.03594</f>
        <v>1444.02099</v>
      </c>
      <c r="P17" s="287">
        <f>7267.40081+444.14376</f>
        <v>7711.54457</v>
      </c>
      <c r="Q17" s="287">
        <f>2836.24998+444.14376</f>
        <v>3280.39374</v>
      </c>
      <c r="R17" s="287">
        <f>1717.948+134.13142</f>
        <v>1852.07942</v>
      </c>
      <c r="S17" s="287">
        <f>2185.28843+134.13142</f>
        <v>2319.4198500000002</v>
      </c>
      <c r="T17" s="287">
        <v>2081.7179999999998</v>
      </c>
      <c r="U17" s="287">
        <v>3366.8392600000002</v>
      </c>
      <c r="V17" s="287">
        <v>7885.4738699999998</v>
      </c>
      <c r="W17" s="287">
        <v>4531.6786300000003</v>
      </c>
      <c r="X17" s="287">
        <v>1056.258</v>
      </c>
      <c r="Y17" s="287">
        <v>2488.1683400000002</v>
      </c>
      <c r="Z17" s="287">
        <v>907.79963999999995</v>
      </c>
      <c r="AA17" s="287">
        <v>2478.7598600000001</v>
      </c>
      <c r="AB17" s="287">
        <v>3349.81916</v>
      </c>
      <c r="AC17" s="287">
        <v>2859.5976700000001</v>
      </c>
      <c r="AD17" s="287">
        <v>820.1</v>
      </c>
      <c r="AE17" s="287">
        <v>0</v>
      </c>
      <c r="AF17" s="287">
        <f>3414.121+1151.20039+803.0888</f>
        <v>5368.4101900000005</v>
      </c>
      <c r="AG17" s="504">
        <v>0</v>
      </c>
      <c r="AH17" s="505" t="s">
        <v>448</v>
      </c>
      <c r="AI17" s="20"/>
    </row>
    <row r="18" spans="1:35" s="21" customFormat="1" ht="147.75" customHeight="1" x14ac:dyDescent="0.25">
      <c r="A18" s="581" t="s">
        <v>155</v>
      </c>
      <c r="B18" s="527" t="s">
        <v>164</v>
      </c>
      <c r="C18" s="57" t="s">
        <v>20</v>
      </c>
      <c r="D18" s="83">
        <f>D19+D20+D21</f>
        <v>9016.9199900000003</v>
      </c>
      <c r="E18" s="59">
        <f>E19+E20+E21</f>
        <v>7816.8759899999986</v>
      </c>
      <c r="F18" s="59">
        <f>F19+F20+F21</f>
        <v>6951.8027100000008</v>
      </c>
      <c r="G18" s="321">
        <f>G19+G20+G21</f>
        <v>6951.8027100000008</v>
      </c>
      <c r="H18" s="59">
        <f t="shared" si="5"/>
        <v>77.09730947717992</v>
      </c>
      <c r="I18" s="59">
        <f t="shared" si="6"/>
        <v>88.933260792333513</v>
      </c>
      <c r="J18" s="301">
        <f t="shared" ref="J18:AG18" si="8">J19+J20+J21</f>
        <v>811.04154000000005</v>
      </c>
      <c r="K18" s="301">
        <f t="shared" si="8"/>
        <v>612.34142999999995</v>
      </c>
      <c r="L18" s="301">
        <f t="shared" si="8"/>
        <v>753.69100000000003</v>
      </c>
      <c r="M18" s="301">
        <f t="shared" si="8"/>
        <v>794.68974000000003</v>
      </c>
      <c r="N18" s="301">
        <f t="shared" si="8"/>
        <v>477.50599999999997</v>
      </c>
      <c r="O18" s="301">
        <f t="shared" si="8"/>
        <v>572.06002999999998</v>
      </c>
      <c r="P18" s="301">
        <f t="shared" si="8"/>
        <v>816.18115</v>
      </c>
      <c r="Q18" s="301">
        <f t="shared" si="8"/>
        <v>653.27978000000007</v>
      </c>
      <c r="R18" s="301">
        <f t="shared" si="8"/>
        <v>826.57899999999995</v>
      </c>
      <c r="S18" s="301">
        <f t="shared" si="8"/>
        <v>678.62918000000002</v>
      </c>
      <c r="T18" s="301">
        <f t="shared" si="8"/>
        <v>620.90798999999993</v>
      </c>
      <c r="U18" s="301">
        <f t="shared" si="8"/>
        <v>768.07577000000003</v>
      </c>
      <c r="V18" s="301">
        <f t="shared" si="8"/>
        <v>932.41714999999999</v>
      </c>
      <c r="W18" s="301">
        <f t="shared" si="8"/>
        <v>699.46643000000006</v>
      </c>
      <c r="X18" s="301">
        <f t="shared" si="8"/>
        <v>930.66300000000001</v>
      </c>
      <c r="Y18" s="301">
        <f t="shared" si="8"/>
        <v>874.17074000000002</v>
      </c>
      <c r="Z18" s="301">
        <f t="shared" si="8"/>
        <v>672.37</v>
      </c>
      <c r="AA18" s="301">
        <f t="shared" si="8"/>
        <v>676.26324</v>
      </c>
      <c r="AB18" s="301">
        <f t="shared" si="8"/>
        <v>975.51916000000006</v>
      </c>
      <c r="AC18" s="301">
        <f t="shared" si="8"/>
        <v>622.82637</v>
      </c>
      <c r="AD18" s="301">
        <f t="shared" si="8"/>
        <v>609.55600000000004</v>
      </c>
      <c r="AE18" s="301">
        <f t="shared" si="8"/>
        <v>0</v>
      </c>
      <c r="AF18" s="301">
        <f t="shared" si="8"/>
        <v>590.48800000000006</v>
      </c>
      <c r="AG18" s="301">
        <f t="shared" si="8"/>
        <v>0</v>
      </c>
      <c r="AH18" s="501" t="s">
        <v>449</v>
      </c>
      <c r="AI18" s="20"/>
    </row>
    <row r="19" spans="1:35" s="21" customFormat="1" ht="45.75" customHeight="1" x14ac:dyDescent="0.25">
      <c r="A19" s="582"/>
      <c r="B19" s="528"/>
      <c r="C19" s="295" t="s">
        <v>52</v>
      </c>
      <c r="D19" s="62">
        <f>SUM(J19,L19,N19,P19,R19,T19,V19,X19,Z19,AB19,AD19,AF19)</f>
        <v>6378.9999999999991</v>
      </c>
      <c r="E19" s="62">
        <f>J19+L19+N19+P19+R19+T19+V19+X19+Z19+AB19</f>
        <v>5434.6129999999994</v>
      </c>
      <c r="F19" s="62">
        <f>G19</f>
        <v>5300.8151300000009</v>
      </c>
      <c r="G19" s="62">
        <f>SUM(K19,M19,O19,Q19,S19,U19,W19,Y19,AA19,AC19,AE19,AG19)</f>
        <v>5300.8151300000009</v>
      </c>
      <c r="H19" s="62">
        <f t="shared" si="5"/>
        <v>83.097901395203039</v>
      </c>
      <c r="I19" s="62">
        <f t="shared" si="6"/>
        <v>97.538042359225969</v>
      </c>
      <c r="J19" s="287">
        <v>533.65200000000004</v>
      </c>
      <c r="K19" s="287">
        <v>407.34699999999998</v>
      </c>
      <c r="L19" s="287">
        <v>734.69100000000003</v>
      </c>
      <c r="M19" s="287">
        <v>781.77151000000003</v>
      </c>
      <c r="N19" s="287">
        <v>326.40600000000001</v>
      </c>
      <c r="O19" s="287">
        <v>348.72284000000002</v>
      </c>
      <c r="P19" s="287">
        <v>614.40700000000004</v>
      </c>
      <c r="Q19" s="287">
        <v>453.94542000000001</v>
      </c>
      <c r="R19" s="287">
        <v>649.43899999999996</v>
      </c>
      <c r="S19" s="287">
        <v>678.62918000000002</v>
      </c>
      <c r="T19" s="287">
        <v>296.709</v>
      </c>
      <c r="U19" s="287">
        <v>427.98540000000003</v>
      </c>
      <c r="V19" s="287">
        <v>546.70699999999999</v>
      </c>
      <c r="W19" s="287">
        <v>488.57035000000002</v>
      </c>
      <c r="X19" s="287">
        <v>705.66300000000001</v>
      </c>
      <c r="Y19" s="287">
        <v>808.19493999999997</v>
      </c>
      <c r="Z19" s="287">
        <v>642.37</v>
      </c>
      <c r="AA19" s="287">
        <v>597.96470999999997</v>
      </c>
      <c r="AB19" s="287">
        <v>384.56900000000002</v>
      </c>
      <c r="AC19" s="287">
        <v>307.68378000000001</v>
      </c>
      <c r="AD19" s="287">
        <v>464.73599999999999</v>
      </c>
      <c r="AE19" s="287">
        <v>0</v>
      </c>
      <c r="AF19" s="287">
        <v>479.65100000000001</v>
      </c>
      <c r="AG19" s="287">
        <v>0</v>
      </c>
      <c r="AH19" s="60"/>
      <c r="AI19" s="20"/>
    </row>
    <row r="20" spans="1:35" s="21" customFormat="1" ht="52.5" customHeight="1" x14ac:dyDescent="0.25">
      <c r="A20" s="582"/>
      <c r="B20" s="528"/>
      <c r="C20" s="295" t="s">
        <v>22</v>
      </c>
      <c r="D20" s="62">
        <f>SUM(J20,L20,N20,P20,R20,T20,V20,X20,Z20,AB20,AD20,AF20)</f>
        <v>2559.7999899999995</v>
      </c>
      <c r="E20" s="62">
        <f>J20+L20+N20+P20+R20+T20+V20+X20+Z20+AB20</f>
        <v>2382.2629899999997</v>
      </c>
      <c r="F20" s="62">
        <f>G20</f>
        <v>1650.98758</v>
      </c>
      <c r="G20" s="62">
        <f>SUM(K20,M20,O20,Q20,S20,U20,W20,Y20,AA20,AC20,AE20,AG20)</f>
        <v>1650.98758</v>
      </c>
      <c r="H20" s="62">
        <f t="shared" si="5"/>
        <v>64.49674140361256</v>
      </c>
      <c r="I20" s="62">
        <f t="shared" si="6"/>
        <v>69.303329940075173</v>
      </c>
      <c r="J20" s="287">
        <v>277.38954000000001</v>
      </c>
      <c r="K20" s="287">
        <v>204.99442999999999</v>
      </c>
      <c r="L20" s="287">
        <v>19</v>
      </c>
      <c r="M20" s="287">
        <v>12.918229999999999</v>
      </c>
      <c r="N20" s="287">
        <v>151.1</v>
      </c>
      <c r="O20" s="287">
        <v>223.33718999999999</v>
      </c>
      <c r="P20" s="287">
        <v>201.77414999999999</v>
      </c>
      <c r="Q20" s="287">
        <v>199.33436</v>
      </c>
      <c r="R20" s="287">
        <v>177.14</v>
      </c>
      <c r="S20" s="287">
        <v>0</v>
      </c>
      <c r="T20" s="287">
        <v>324.19898999999998</v>
      </c>
      <c r="U20" s="287">
        <v>340.09037000000001</v>
      </c>
      <c r="V20" s="287">
        <v>385.71015</v>
      </c>
      <c r="W20" s="287">
        <v>210.89608000000001</v>
      </c>
      <c r="X20" s="287">
        <v>225</v>
      </c>
      <c r="Y20" s="287">
        <v>65.975800000000007</v>
      </c>
      <c r="Z20" s="287">
        <v>30</v>
      </c>
      <c r="AA20" s="287">
        <v>78.29853</v>
      </c>
      <c r="AB20" s="287">
        <v>590.95015999999998</v>
      </c>
      <c r="AC20" s="287">
        <v>315.14258999999998</v>
      </c>
      <c r="AD20" s="287">
        <v>66.7</v>
      </c>
      <c r="AE20" s="287">
        <v>0</v>
      </c>
      <c r="AF20" s="287">
        <v>110.837</v>
      </c>
      <c r="AG20" s="287">
        <v>0</v>
      </c>
      <c r="AH20" s="60"/>
      <c r="AI20" s="20"/>
    </row>
    <row r="21" spans="1:35" s="22" customFormat="1" ht="53.25" customHeight="1" x14ac:dyDescent="0.25">
      <c r="A21" s="583"/>
      <c r="B21" s="529"/>
      <c r="C21" s="295" t="s">
        <v>21</v>
      </c>
      <c r="D21" s="62">
        <f>SUM(J21,L21,N21,P21,R21,T21,V21,X21,Z21,AB21,AD21,AF21)</f>
        <v>78.12</v>
      </c>
      <c r="E21" s="62">
        <f>J21+L21+N21+P21+R21+T21+V21+X21+Z21+AB21</f>
        <v>0</v>
      </c>
      <c r="F21" s="62">
        <f>G21</f>
        <v>0</v>
      </c>
      <c r="G21" s="62">
        <f>SUM(K21,M21,O21,Q21,S21,U21,W21,Y21,AA21,AC21,AE21,AG21)</f>
        <v>0</v>
      </c>
      <c r="H21" s="62">
        <f t="shared" si="5"/>
        <v>0</v>
      </c>
      <c r="I21" s="62">
        <f t="shared" si="6"/>
        <v>0</v>
      </c>
      <c r="J21" s="287">
        <v>0</v>
      </c>
      <c r="K21" s="287">
        <v>0</v>
      </c>
      <c r="L21" s="287">
        <v>0</v>
      </c>
      <c r="M21" s="287">
        <v>0</v>
      </c>
      <c r="N21" s="287">
        <v>0</v>
      </c>
      <c r="O21" s="287">
        <v>0</v>
      </c>
      <c r="P21" s="287">
        <v>0</v>
      </c>
      <c r="Q21" s="287">
        <v>0</v>
      </c>
      <c r="R21" s="287">
        <v>0</v>
      </c>
      <c r="S21" s="287">
        <v>0</v>
      </c>
      <c r="T21" s="287">
        <v>0</v>
      </c>
      <c r="U21" s="287">
        <v>0</v>
      </c>
      <c r="V21" s="287">
        <v>0</v>
      </c>
      <c r="W21" s="287">
        <v>0</v>
      </c>
      <c r="X21" s="287">
        <v>0</v>
      </c>
      <c r="Y21" s="287">
        <v>0</v>
      </c>
      <c r="Z21" s="287">
        <v>0</v>
      </c>
      <c r="AA21" s="287">
        <v>0</v>
      </c>
      <c r="AB21" s="287">
        <v>0</v>
      </c>
      <c r="AC21" s="287">
        <v>0</v>
      </c>
      <c r="AD21" s="287">
        <v>78.12</v>
      </c>
      <c r="AE21" s="287">
        <v>0</v>
      </c>
      <c r="AF21" s="287">
        <v>0</v>
      </c>
      <c r="AG21" s="287">
        <v>0</v>
      </c>
      <c r="AH21" s="64"/>
      <c r="AI21" s="20"/>
    </row>
    <row r="22" spans="1:35" s="26" customFormat="1" ht="18.75" customHeight="1" x14ac:dyDescent="0.25">
      <c r="A22" s="132" t="s">
        <v>156</v>
      </c>
      <c r="B22" s="596" t="s">
        <v>165</v>
      </c>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8"/>
      <c r="AH22" s="75"/>
    </row>
    <row r="23" spans="1:35" s="131" customFormat="1" ht="112.5" customHeight="1" x14ac:dyDescent="0.25">
      <c r="A23" s="581" t="s">
        <v>157</v>
      </c>
      <c r="B23" s="527" t="s">
        <v>166</v>
      </c>
      <c r="C23" s="57" t="s">
        <v>20</v>
      </c>
      <c r="D23" s="82">
        <f>D24</f>
        <v>122517.36788999999</v>
      </c>
      <c r="E23" s="58">
        <f>E24</f>
        <v>108801.06999999999</v>
      </c>
      <c r="F23" s="58">
        <f>F24</f>
        <v>102711.85634</v>
      </c>
      <c r="G23" s="320">
        <f>G24</f>
        <v>102711.85634</v>
      </c>
      <c r="H23" s="58">
        <f>IFERROR(G23/D23*100,0)</f>
        <v>83.834527388980462</v>
      </c>
      <c r="I23" s="58">
        <f>IFERROR(G23/E23*100,0)</f>
        <v>94.40335130895312</v>
      </c>
      <c r="J23" s="499">
        <f t="shared" ref="J23:AG23" si="9">J24</f>
        <v>17145.027999999998</v>
      </c>
      <c r="K23" s="499">
        <f t="shared" si="9"/>
        <v>8806.2244300000002</v>
      </c>
      <c r="L23" s="499">
        <f t="shared" si="9"/>
        <v>10685.566000000001</v>
      </c>
      <c r="M23" s="499">
        <f t="shared" si="9"/>
        <v>12161.342049999999</v>
      </c>
      <c r="N23" s="499">
        <f t="shared" si="9"/>
        <v>8218.2867600000009</v>
      </c>
      <c r="O23" s="499">
        <f t="shared" si="9"/>
        <v>9820.1337199999998</v>
      </c>
      <c r="P23" s="499">
        <f t="shared" si="9"/>
        <v>12370.266240000001</v>
      </c>
      <c r="Q23" s="499">
        <f t="shared" si="9"/>
        <v>8989.7078399999991</v>
      </c>
      <c r="R23" s="499">
        <f t="shared" si="9"/>
        <v>10407.286</v>
      </c>
      <c r="S23" s="499">
        <f t="shared" si="9"/>
        <v>10470.558940000001</v>
      </c>
      <c r="T23" s="499">
        <f t="shared" si="9"/>
        <v>8216.5519999999997</v>
      </c>
      <c r="U23" s="499">
        <f t="shared" si="9"/>
        <v>9882.2743200000004</v>
      </c>
      <c r="V23" s="499">
        <f t="shared" si="9"/>
        <v>13570.646000000001</v>
      </c>
      <c r="W23" s="499">
        <f t="shared" si="9"/>
        <v>10649.06753</v>
      </c>
      <c r="X23" s="499">
        <f t="shared" si="9"/>
        <v>10001.063</v>
      </c>
      <c r="Y23" s="499">
        <f t="shared" si="9"/>
        <v>8164.5059000000001</v>
      </c>
      <c r="Z23" s="499">
        <f t="shared" si="9"/>
        <v>8268.0120000000006</v>
      </c>
      <c r="AA23" s="499">
        <f t="shared" si="9"/>
        <v>14224.37054</v>
      </c>
      <c r="AB23" s="499">
        <f t="shared" si="9"/>
        <v>9918.3639999999996</v>
      </c>
      <c r="AC23" s="301">
        <f t="shared" si="9"/>
        <v>9543.6710700000003</v>
      </c>
      <c r="AD23" s="301">
        <f t="shared" si="9"/>
        <v>8766.0938900000001</v>
      </c>
      <c r="AE23" s="301">
        <f t="shared" si="9"/>
        <v>0</v>
      </c>
      <c r="AF23" s="301">
        <f t="shared" si="9"/>
        <v>4950.2039999999997</v>
      </c>
      <c r="AG23" s="301">
        <f t="shared" si="9"/>
        <v>0</v>
      </c>
      <c r="AH23" s="503" t="s">
        <v>450</v>
      </c>
      <c r="AI23" s="19"/>
    </row>
    <row r="24" spans="1:35" s="18" customFormat="1" ht="115.5" customHeight="1" x14ac:dyDescent="0.25">
      <c r="A24" s="583"/>
      <c r="B24" s="529"/>
      <c r="C24" s="295" t="s">
        <v>21</v>
      </c>
      <c r="D24" s="62">
        <f>SUM(J24,L24,N24,P24,R24,T24,V24,X24,Z24,AB24,AD24,AF24)</f>
        <v>122517.36788999999</v>
      </c>
      <c r="E24" s="62">
        <f>J24+L24+N24+P24+R24+T24+V24+X24+Z24+AB24</f>
        <v>108801.06999999999</v>
      </c>
      <c r="F24" s="62">
        <f>G24</f>
        <v>102711.85634</v>
      </c>
      <c r="G24" s="62">
        <f>SUM(K24,M24,O24,Q24,S24,U24,W24,Y24,AA24,AC24,AE24,AG24)</f>
        <v>102711.85634</v>
      </c>
      <c r="H24" s="62">
        <f>IFERROR(G24/D24*100,0)</f>
        <v>83.834527388980462</v>
      </c>
      <c r="I24" s="62">
        <f>IFERROR(G24/E24*100,0)</f>
        <v>94.40335130895312</v>
      </c>
      <c r="J24" s="500">
        <v>17145.027999999998</v>
      </c>
      <c r="K24" s="500">
        <v>8806.2244300000002</v>
      </c>
      <c r="L24" s="500">
        <v>10685.566000000001</v>
      </c>
      <c r="M24" s="500">
        <v>12161.342049999999</v>
      </c>
      <c r="N24" s="500">
        <v>8218.2867600000009</v>
      </c>
      <c r="O24" s="500">
        <v>9820.1337199999998</v>
      </c>
      <c r="P24" s="500">
        <v>12370.266240000001</v>
      </c>
      <c r="Q24" s="500">
        <v>8989.7078399999991</v>
      </c>
      <c r="R24" s="500">
        <v>10407.286</v>
      </c>
      <c r="S24" s="500">
        <v>10470.558940000001</v>
      </c>
      <c r="T24" s="500">
        <v>8216.5519999999997</v>
      </c>
      <c r="U24" s="500">
        <v>9882.2743200000004</v>
      </c>
      <c r="V24" s="500">
        <v>13570.646000000001</v>
      </c>
      <c r="W24" s="500">
        <v>10649.06753</v>
      </c>
      <c r="X24" s="500">
        <v>10001.063</v>
      </c>
      <c r="Y24" s="500">
        <v>8164.5059000000001</v>
      </c>
      <c r="Z24" s="500">
        <v>8268.0120000000006</v>
      </c>
      <c r="AA24" s="500">
        <v>14224.37054</v>
      </c>
      <c r="AB24" s="500">
        <v>9918.3639999999996</v>
      </c>
      <c r="AC24" s="287">
        <v>9543.6710700000003</v>
      </c>
      <c r="AD24" s="500">
        <v>8766.0938900000001</v>
      </c>
      <c r="AE24" s="287">
        <v>0</v>
      </c>
      <c r="AF24" s="287">
        <v>4950.2039999999997</v>
      </c>
      <c r="AG24" s="287">
        <v>0</v>
      </c>
      <c r="AH24" s="506"/>
      <c r="AI24" s="19"/>
    </row>
    <row r="25" spans="1:35" s="10" customFormat="1" x14ac:dyDescent="0.25">
      <c r="C25" s="17"/>
    </row>
  </sheetData>
  <customSheetViews>
    <customSheetView guid="{133BB3F8-8DD4-4AEF-8CD6-A5FB14681329}" scale="70" state="hidden">
      <pane xSplit="6" ySplit="7" topLeftCell="G8" activePane="bottomRight" state="frozen"/>
      <selection pane="bottomRight" activeCell="C14" sqref="C14"/>
      <pageMargins left="0.7" right="0.7" top="0.75" bottom="0.75" header="0.3" footer="0.3"/>
      <pageSetup paperSize="9" orientation="portrait" r:id="rId1"/>
    </customSheetView>
    <customSheetView guid="{7C5A2A36-3D69-43D9-9018-A52C27EC78F9}" scale="70">
      <pane xSplit="6" ySplit="7" topLeftCell="G8" activePane="bottomRight" state="frozen"/>
      <selection pane="bottomRight" activeCell="C14" sqref="C14"/>
      <pageMargins left="0.7" right="0.7" top="0.75" bottom="0.75" header="0.3" footer="0.3"/>
      <pageSetup paperSize="9" orientation="portrait" r:id="rId2"/>
    </customSheetView>
    <customSheetView guid="{2A5A11D4-90C6-4A3E-8165-7D7BD634B22F}" scale="70">
      <pane xSplit="6" ySplit="7" topLeftCell="G8" activePane="bottomRight" state="frozen"/>
      <selection pane="bottomRight" activeCell="C14" sqref="C14"/>
      <pageMargins left="0.7" right="0.7" top="0.75" bottom="0.75" header="0.3" footer="0.3"/>
      <pageSetup paperSize="9" orientation="portrait" r:id="rId3"/>
    </customSheetView>
    <customSheetView guid="{996EC2F0-F6EC-4E63-A83E-34865157BD8D}" scale="70">
      <pane xSplit="6" ySplit="7" topLeftCell="G8" activePane="bottomRight" state="frozen"/>
      <selection pane="bottomRight" activeCell="C14" sqref="C14"/>
      <pageMargins left="0.7" right="0.7" top="0.75" bottom="0.75" header="0.3" footer="0.3"/>
      <pageSetup paperSize="9" orientation="portrait" r:id="rId4"/>
    </customSheetView>
    <customSheetView guid="{AB9978E4-895D-4050-8F07-2484E22632D1}" scale="70">
      <pane xSplit="6" ySplit="7" topLeftCell="G8" activePane="bottomRight" state="frozen"/>
      <selection pane="bottomRight" activeCell="E6" sqref="E6:G6"/>
      <pageMargins left="0.7" right="0.7" top="0.75" bottom="0.75" header="0.3" footer="0.3"/>
      <pageSetup paperSize="9" orientation="portrait" r:id="rId5"/>
    </customSheetView>
    <customSheetView guid="{21E1D423-7B38-4272-8354-09B4DB62C9EB}" scale="70">
      <pane xSplit="6" ySplit="7" topLeftCell="G8" activePane="bottomRight" state="frozen"/>
      <selection pane="bottomRight" activeCell="C14" sqref="C14"/>
      <pageMargins left="0.7" right="0.7" top="0.75" bottom="0.75" header="0.3" footer="0.3"/>
      <pageSetup paperSize="9" orientation="portrait" r:id="rId6"/>
    </customSheetView>
    <customSheetView guid="{2940A182-D1A7-43C5-8D6E-965BED4371B0}" scale="70">
      <pane xSplit="6" ySplit="7" topLeftCell="G8" activePane="bottomRight" state="frozen"/>
      <selection pane="bottomRight" activeCell="C14" sqref="C14"/>
      <pageMargins left="0.7" right="0.7" top="0.75" bottom="0.75" header="0.3" footer="0.3"/>
      <pageSetup paperSize="9" orientation="portrait" r:id="rId7"/>
    </customSheetView>
    <customSheetView guid="{A0E2FBF6-E560-4343-8BE6-217DC798135B}" scale="70">
      <pane xSplit="6" ySplit="7" topLeftCell="G8" activePane="bottomRight" state="frozen"/>
      <selection pane="bottomRight" activeCell="C14" sqref="C14"/>
      <pageMargins left="0.7" right="0.7" top="0.75" bottom="0.75" header="0.3" footer="0.3"/>
      <pageSetup paperSize="9" orientation="portrait" r:id="rId8"/>
    </customSheetView>
    <customSheetView guid="{BBF6B43F-E0FC-43DF-B91C-674F6AB4B556}" scale="70">
      <pane xSplit="6" ySplit="7" topLeftCell="G8" activePane="bottomRight" state="frozen"/>
      <selection pane="bottomRight" activeCell="C14" sqref="C14"/>
      <pageMargins left="0.7" right="0.7" top="0.75" bottom="0.75" header="0.3" footer="0.3"/>
      <pageSetup paperSize="9" orientation="portrait" r:id="rId9"/>
    </customSheetView>
    <customSheetView guid="{C68436F4-AFB3-4D1D-A7C4-56D0C677D68E}" scale="70">
      <pane xSplit="6" ySplit="7" topLeftCell="G8" activePane="bottomRight" state="frozen"/>
      <selection pane="bottomRight" activeCell="C14" sqref="C14"/>
      <pageMargins left="0.7" right="0.7" top="0.75" bottom="0.75" header="0.3" footer="0.3"/>
      <pageSetup paperSize="9" orientation="portrait" r:id="rId10"/>
    </customSheetView>
    <customSheetView guid="{DAEDC989-02E7-4319-8354-59410ACF3F1F}" scale="70">
      <pane xSplit="6" ySplit="7" topLeftCell="G8" activePane="bottomRight" state="frozen"/>
      <selection pane="bottomRight" activeCell="C14" sqref="C14"/>
      <pageMargins left="0.7" right="0.7" top="0.75" bottom="0.75" header="0.3" footer="0.3"/>
      <pageSetup paperSize="9" orientation="portrait" r:id="rId11"/>
    </customSheetView>
    <customSheetView guid="{519948E4-0B24-465F-9D9E-44BE50D1D647}" scale="70">
      <pane xSplit="6" ySplit="7" topLeftCell="G8" activePane="bottomRight" state="frozen"/>
      <selection pane="bottomRight" activeCell="C14" sqref="C14"/>
      <pageMargins left="0.7" right="0.7" top="0.75" bottom="0.75" header="0.3" footer="0.3"/>
      <pageSetup paperSize="9" orientation="portrait" r:id="rId12"/>
    </customSheetView>
    <customSheetView guid="{C7DC638A-7F60-46C9-A1FB-9ADEAE87F332}" scale="70">
      <pane xSplit="6" ySplit="7" topLeftCell="G8" activePane="bottomRight" state="frozen"/>
      <selection pane="bottomRight" activeCell="C14" sqref="C14"/>
      <pageMargins left="0.7" right="0.7" top="0.75" bottom="0.75" header="0.3" footer="0.3"/>
      <pageSetup paperSize="9" orientation="portrait" r:id="rId13"/>
    </customSheetView>
    <customSheetView guid="{C01DC081-B312-4391-B775-A8CE76216D71}" scale="70">
      <pane xSplit="6" ySplit="7" topLeftCell="S11" activePane="bottomRight" state="frozen"/>
      <selection pane="bottomRight" activeCell="C13" sqref="C13"/>
      <pageMargins left="0.7" right="0.7" top="0.75" bottom="0.75" header="0.3" footer="0.3"/>
      <pageSetup paperSize="9" orientation="portrait" r:id="rId14"/>
    </customSheetView>
    <customSheetView guid="{562453CE-35F5-40A3-AD14-6399D1197C99}" scale="70">
      <pane xSplit="6" ySplit="7" topLeftCell="G8" activePane="bottomRight" state="frozen"/>
      <selection pane="bottomRight" activeCell="C14" sqref="C14"/>
      <pageMargins left="0.7" right="0.7" top="0.75" bottom="0.75" header="0.3" footer="0.3"/>
      <pageSetup paperSize="9" orientation="portrait" r:id="rId15"/>
    </customSheetView>
    <customSheetView guid="{A7640BE7-6438-4196-9A67-AF5B992A1E70}" scale="70">
      <pane xSplit="6" ySplit="7" topLeftCell="G8" activePane="bottomRight" state="frozen"/>
      <selection pane="bottomRight" activeCell="E6" sqref="E6:G6"/>
      <pageMargins left="0.7" right="0.7" top="0.75" bottom="0.75" header="0.3" footer="0.3"/>
      <pageSetup paperSize="9" orientation="portrait" r:id="rId16"/>
    </customSheetView>
    <customSheetView guid="{30B635D9-57DB-47D5-8A0F-4B30DD769960}" scale="70">
      <pane xSplit="6" ySplit="7" topLeftCell="G8" activePane="bottomRight" state="frozen"/>
      <selection pane="bottomRight" activeCell="C14" sqref="C14"/>
      <pageMargins left="0.7" right="0.7" top="0.75" bottom="0.75" header="0.3" footer="0.3"/>
      <pageSetup paperSize="9" orientation="portrait" r:id="rId17"/>
    </customSheetView>
    <customSheetView guid="{20A05A62-CBE8-4538-BBC3-2AD9D3B8FAC0}" scale="70">
      <pane xSplit="6" ySplit="7" topLeftCell="G8" activePane="bottomRight" state="frozen"/>
      <selection pane="bottomRight" activeCell="C14" sqref="C14"/>
      <pageMargins left="0.7" right="0.7" top="0.75" bottom="0.75" header="0.3" footer="0.3"/>
      <pageSetup paperSize="9" orientation="portrait" r:id="rId18"/>
    </customSheetView>
    <customSheetView guid="{C282AA4E-1BB5-4296-9AC6-844C0F88E5FC}" scale="70">
      <pane xSplit="6" ySplit="7" topLeftCell="G8" activePane="bottomRight" state="frozen"/>
      <selection pane="bottomRight" activeCell="C14" sqref="C14"/>
      <pageMargins left="0.7" right="0.7" top="0.75" bottom="0.75" header="0.3" footer="0.3"/>
      <pageSetup paperSize="9" orientation="portrait" r:id="rId19"/>
    </customSheetView>
    <customSheetView guid="{4E221C17-6DAB-4FFA-B18C-35D4D85AF6E8}" scale="70">
      <pane xSplit="6" ySplit="7" topLeftCell="G8" activePane="bottomRight" state="frozen"/>
      <selection pane="bottomRight" activeCell="C14" sqref="C14"/>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C14" sqref="C14"/>
      <pageMargins left="0.7" right="0.7" top="0.75" bottom="0.75" header="0.3" footer="0.3"/>
      <pageSetup paperSize="9" orientation="portrait" r:id="rId21"/>
    </customSheetView>
    <customSheetView guid="{F528EF6A-C113-49B5-B25F-D660F898CBFB}" scale="70">
      <pane xSplit="6" ySplit="7" topLeftCell="G8" activePane="bottomRight" state="frozen"/>
      <selection pane="bottomRight" activeCell="C14" sqref="C14"/>
      <pageMargins left="0.7" right="0.7" top="0.75" bottom="0.75" header="0.3" footer="0.3"/>
      <pageSetup paperSize="9" orientation="portrait" r:id="rId22"/>
    </customSheetView>
    <customSheetView guid="{B6B60ED6-A6CC-4DA7-A8CA-5E6DB52D5A87}" scale="70">
      <pane xSplit="6" ySplit="7" topLeftCell="G8" activePane="bottomRight" state="frozen"/>
      <selection pane="bottomRight" activeCell="C14" sqref="C14"/>
      <pageMargins left="0.7" right="0.7" top="0.75" bottom="0.75" header="0.3" footer="0.3"/>
      <pageSetup paperSize="9" orientation="portrait" r:id="rId23"/>
    </customSheetView>
    <customSheetView guid="{A4AF2100-C59D-4F60-9EAB-56D9103463F7}" scale="70">
      <pane xSplit="6" ySplit="7" topLeftCell="G8" activePane="bottomRight" state="frozen"/>
      <selection pane="bottomRight" activeCell="C14" sqref="C14"/>
      <pageMargins left="0.7" right="0.7" top="0.75" bottom="0.75" header="0.3" footer="0.3"/>
      <pageSetup paperSize="9" orientation="portrait" r:id="rId24"/>
    </customSheetView>
    <customSheetView guid="{EA46B61D-849C-4795-A4FF-F8F1740022EB}" scale="70">
      <pane xSplit="6" ySplit="7" topLeftCell="G8" activePane="bottomRight" state="frozen"/>
      <selection pane="bottomRight" activeCell="C14" sqref="C14"/>
      <pageMargins left="0.7" right="0.7" top="0.75" bottom="0.75" header="0.3" footer="0.3"/>
      <pageSetup paperSize="9" orientation="portrait" r:id="rId25"/>
    </customSheetView>
    <customSheetView guid="{B686A221-D885-4536-BEAC-E7F4BBC02150}" scale="70">
      <pane xSplit="6" ySplit="7" topLeftCell="G8" activePane="bottomRight" state="frozen"/>
      <selection pane="bottomRight" activeCell="C14" sqref="C14"/>
      <pageMargins left="0.7" right="0.7" top="0.75" bottom="0.75" header="0.3" footer="0.3"/>
      <pageSetup paperSize="9" orientation="portrait" r:id="rId26"/>
    </customSheetView>
    <customSheetView guid="{60A1F930-4BEC-460A-8E14-01E47F6DD055}" scale="70">
      <pane xSplit="6" ySplit="4" topLeftCell="G8" activePane="bottomRight" state="frozen"/>
      <selection pane="bottomRight" activeCell="C14" sqref="C14"/>
      <pageMargins left="0.7" right="0.7" top="0.75" bottom="0.75" header="0.3" footer="0.3"/>
      <pageSetup paperSize="9" orientation="portrait" r:id="rId27"/>
    </customSheetView>
    <customSheetView guid="{5DF2C78B-5EE4-439D-8D72-8D3A913B65F9}" scale="70">
      <pane xSplit="6" ySplit="7" topLeftCell="Q8" activePane="bottomRight" state="frozen"/>
      <selection pane="bottomRight" activeCell="AH23" sqref="AH23"/>
      <pageMargins left="0.7" right="0.7" top="0.75" bottom="0.75" header="0.3" footer="0.3"/>
      <pageSetup paperSize="9" orientation="portrait" r:id="rId28"/>
    </customSheetView>
  </customSheetViews>
  <mergeCells count="36">
    <mergeCell ref="C2:S2"/>
    <mergeCell ref="C3:S3"/>
    <mergeCell ref="A4:A6"/>
    <mergeCell ref="B4:B6"/>
    <mergeCell ref="C4:C6"/>
    <mergeCell ref="D4:D5"/>
    <mergeCell ref="E4:E5"/>
    <mergeCell ref="F4:F5"/>
    <mergeCell ref="AH4:AH6"/>
    <mergeCell ref="A8:A11"/>
    <mergeCell ref="B8:B11"/>
    <mergeCell ref="B12:AG12"/>
    <mergeCell ref="AD4:AE5"/>
    <mergeCell ref="AF4:AG5"/>
    <mergeCell ref="R4:S5"/>
    <mergeCell ref="T4:U5"/>
    <mergeCell ref="AB4:AC5"/>
    <mergeCell ref="J4:K5"/>
    <mergeCell ref="L4:M5"/>
    <mergeCell ref="N4:O5"/>
    <mergeCell ref="P4:Q5"/>
    <mergeCell ref="A13:A14"/>
    <mergeCell ref="B13:B14"/>
    <mergeCell ref="V4:W5"/>
    <mergeCell ref="X4:Y5"/>
    <mergeCell ref="Z4:AA5"/>
    <mergeCell ref="G4:G5"/>
    <mergeCell ref="H4:I5"/>
    <mergeCell ref="B15:AG15"/>
    <mergeCell ref="B22:AG22"/>
    <mergeCell ref="A18:A21"/>
    <mergeCell ref="B18:B21"/>
    <mergeCell ref="A23:A24"/>
    <mergeCell ref="B23:B24"/>
    <mergeCell ref="A16:A17"/>
    <mergeCell ref="B16:B17"/>
  </mergeCells>
  <pageMargins left="0.7" right="0.7" top="0.75" bottom="0.75" header="0.3" footer="0.3"/>
  <pageSetup paperSize="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70" workbookViewId="0">
      <pane xSplit="6" ySplit="7" topLeftCell="G8" activePane="bottomRight" state="frozen"/>
      <selection pane="topRight" activeCell="G1" sqref="G1"/>
      <selection pane="bottomLeft" activeCell="A8" sqref="A8"/>
      <selection pane="bottomRight" activeCell="Q19" sqref="Q19"/>
    </sheetView>
  </sheetViews>
  <sheetFormatPr defaultColWidth="9.140625" defaultRowHeight="15" x14ac:dyDescent="0.25"/>
  <cols>
    <col min="1" max="1" width="6.5703125" style="8" customWidth="1"/>
    <col min="2" max="2" width="46.28515625" style="8" customWidth="1"/>
    <col min="3" max="3" width="18.5703125" style="9" customWidth="1"/>
    <col min="4" max="4" width="19.5703125" style="8" customWidth="1"/>
    <col min="5" max="5" width="14.7109375" style="8" customWidth="1"/>
    <col min="6" max="6" width="16.57031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22.28515625" style="8" customWidth="1"/>
    <col min="14" max="14" width="13.42578125" style="8" customWidth="1"/>
    <col min="15" max="15" width="15" style="8" customWidth="1"/>
    <col min="16" max="16" width="13.42578125" style="8" customWidth="1"/>
    <col min="17" max="17" width="15" style="8" customWidth="1"/>
    <col min="18" max="18" width="13" style="8" customWidth="1"/>
    <col min="19" max="19" width="16.285156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94.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36.75" customHeight="1" x14ac:dyDescent="0.25">
      <c r="A3" s="55"/>
      <c r="B3" s="55"/>
      <c r="C3" s="513" t="s">
        <v>39</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282">
        <v>45962</v>
      </c>
      <c r="F6" s="282">
        <v>45962</v>
      </c>
      <c r="G6" s="282">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581"/>
      <c r="B8" s="527" t="s">
        <v>23</v>
      </c>
      <c r="C8" s="57" t="s">
        <v>20</v>
      </c>
      <c r="D8" s="58">
        <f>D9+D10+D11</f>
        <v>470339.96403000003</v>
      </c>
      <c r="E8" s="58">
        <f>E9+E10+E11</f>
        <v>440984.38153000001</v>
      </c>
      <c r="F8" s="58">
        <f>F9+F10+F11</f>
        <v>398559.36848</v>
      </c>
      <c r="G8" s="58">
        <f t="shared" ref="G8" si="0">G9+G10+G11</f>
        <v>398559.36848</v>
      </c>
      <c r="H8" s="58">
        <f>IFERROR(G8/D8*100,0)</f>
        <v>84.738571875763128</v>
      </c>
      <c r="I8" s="58">
        <f>IFERROR(G8/E8*100,0)</f>
        <v>90.379474914098779</v>
      </c>
      <c r="J8" s="59">
        <f>J9+J10+J11</f>
        <v>20451.02</v>
      </c>
      <c r="K8" s="59">
        <f t="shared" ref="K8:AG8" si="1">K9+K10+K11</f>
        <v>16320.28</v>
      </c>
      <c r="L8" s="59">
        <f t="shared" si="1"/>
        <v>33791.969999999994</v>
      </c>
      <c r="M8" s="59">
        <f t="shared" si="1"/>
        <v>28333.47</v>
      </c>
      <c r="N8" s="59">
        <f t="shared" si="1"/>
        <v>39937.259529999996</v>
      </c>
      <c r="O8" s="59">
        <f t="shared" si="1"/>
        <v>36106.508479999997</v>
      </c>
      <c r="P8" s="59">
        <f t="shared" si="1"/>
        <v>74823.689999999988</v>
      </c>
      <c r="Q8" s="59">
        <f t="shared" si="1"/>
        <v>76944.44</v>
      </c>
      <c r="R8" s="59">
        <f t="shared" si="1"/>
        <v>20041.208500000001</v>
      </c>
      <c r="S8" s="59">
        <f t="shared" si="1"/>
        <v>16811.079999999998</v>
      </c>
      <c r="T8" s="59">
        <f t="shared" si="1"/>
        <v>48267.091499999995</v>
      </c>
      <c r="U8" s="59">
        <f t="shared" si="1"/>
        <v>38880.729999999996</v>
      </c>
      <c r="V8" s="59">
        <f t="shared" si="1"/>
        <v>33450.3995</v>
      </c>
      <c r="W8" s="59">
        <f t="shared" si="1"/>
        <v>24950.080000000002</v>
      </c>
      <c r="X8" s="59">
        <f t="shared" si="1"/>
        <v>37371.316500000001</v>
      </c>
      <c r="Y8" s="59">
        <f t="shared" si="1"/>
        <v>36302.990000000005</v>
      </c>
      <c r="Z8" s="59">
        <f t="shared" si="1"/>
        <v>83445.752999999997</v>
      </c>
      <c r="AA8" s="59">
        <f t="shared" si="1"/>
        <v>86288.76</v>
      </c>
      <c r="AB8" s="59">
        <f t="shared" si="1"/>
        <v>49404.672999999995</v>
      </c>
      <c r="AC8" s="59">
        <f t="shared" si="1"/>
        <v>37621.030000000006</v>
      </c>
      <c r="AD8" s="59">
        <f t="shared" si="1"/>
        <v>11590.795499999998</v>
      </c>
      <c r="AE8" s="59">
        <f t="shared" si="1"/>
        <v>0</v>
      </c>
      <c r="AF8" s="59">
        <f t="shared" si="1"/>
        <v>17764.786999999997</v>
      </c>
      <c r="AG8" s="59">
        <f t="shared" si="1"/>
        <v>0</v>
      </c>
      <c r="AH8" s="60"/>
    </row>
    <row r="9" spans="1:35" s="22" customFormat="1" ht="57" customHeight="1" x14ac:dyDescent="0.25">
      <c r="A9" s="582"/>
      <c r="B9" s="528"/>
      <c r="C9" s="61" t="s">
        <v>22</v>
      </c>
      <c r="D9" s="62">
        <f>D18</f>
        <v>5242.6965000000009</v>
      </c>
      <c r="E9" s="62">
        <f>E18</f>
        <v>5233.7880000000005</v>
      </c>
      <c r="F9" s="62">
        <f>F18</f>
        <v>4096.37</v>
      </c>
      <c r="G9" s="62">
        <f t="shared" ref="G9" si="2">G18</f>
        <v>4096.37</v>
      </c>
      <c r="H9" s="62">
        <f>IFERROR(G9/D9*100,0)</f>
        <v>78.134791895735319</v>
      </c>
      <c r="I9" s="62">
        <f>IFERROR(G9/E9*100,0)</f>
        <v>78.267786161762757</v>
      </c>
      <c r="J9" s="63">
        <f>J18</f>
        <v>300</v>
      </c>
      <c r="K9" s="63">
        <f t="shared" ref="K9:AG9" si="3">K18</f>
        <v>0</v>
      </c>
      <c r="L9" s="63">
        <f t="shared" si="3"/>
        <v>133.5</v>
      </c>
      <c r="M9" s="63">
        <f t="shared" si="3"/>
        <v>433.5</v>
      </c>
      <c r="N9" s="63">
        <f t="shared" si="3"/>
        <v>0</v>
      </c>
      <c r="O9" s="63">
        <f t="shared" si="3"/>
        <v>0</v>
      </c>
      <c r="P9" s="63">
        <f t="shared" si="3"/>
        <v>1360.15</v>
      </c>
      <c r="Q9" s="63">
        <f t="shared" si="3"/>
        <v>0</v>
      </c>
      <c r="R9" s="63">
        <f t="shared" si="3"/>
        <v>1402.9694999999999</v>
      </c>
      <c r="S9" s="63">
        <f>S18</f>
        <v>1331.51</v>
      </c>
      <c r="T9" s="63">
        <f t="shared" si="3"/>
        <v>1059.3195000000001</v>
      </c>
      <c r="U9" s="63">
        <f t="shared" si="3"/>
        <v>1471.62</v>
      </c>
      <c r="V9" s="63">
        <f t="shared" si="3"/>
        <v>2.9695</v>
      </c>
      <c r="W9" s="63">
        <v>2.97</v>
      </c>
      <c r="X9" s="63">
        <f t="shared" si="3"/>
        <v>2.9695</v>
      </c>
      <c r="Y9" s="63">
        <f t="shared" si="3"/>
        <v>2.97</v>
      </c>
      <c r="Z9" s="63">
        <f t="shared" si="3"/>
        <v>853.82</v>
      </c>
      <c r="AA9" s="63">
        <f t="shared" si="3"/>
        <v>853.54</v>
      </c>
      <c r="AB9" s="63">
        <f t="shared" si="3"/>
        <v>118.09</v>
      </c>
      <c r="AC9" s="63">
        <f t="shared" si="3"/>
        <v>0.26</v>
      </c>
      <c r="AD9" s="63">
        <f t="shared" si="3"/>
        <v>2.9695</v>
      </c>
      <c r="AE9" s="63">
        <f t="shared" si="3"/>
        <v>0</v>
      </c>
      <c r="AF9" s="63">
        <f t="shared" si="3"/>
        <v>5.9390000000000001</v>
      </c>
      <c r="AG9" s="63">
        <f t="shared" si="3"/>
        <v>0</v>
      </c>
      <c r="AH9" s="64"/>
    </row>
    <row r="10" spans="1:35" s="22" customFormat="1" ht="38.25" customHeight="1" x14ac:dyDescent="0.25">
      <c r="A10" s="582"/>
      <c r="B10" s="528"/>
      <c r="C10" s="61" t="s">
        <v>21</v>
      </c>
      <c r="D10" s="62">
        <f>D14+D19</f>
        <v>460285.26952999999</v>
      </c>
      <c r="E10" s="62">
        <f>E14+E19</f>
        <v>431607.57952999999</v>
      </c>
      <c r="F10" s="62">
        <f>F14+F19</f>
        <v>392527.66847999999</v>
      </c>
      <c r="G10" s="62">
        <f t="shared" ref="G10:AG10" si="4">G14+G19</f>
        <v>392527.66847999999</v>
      </c>
      <c r="H10" s="62">
        <f>IFERROR(G10/D10*100,0)</f>
        <v>85.279215839518898</v>
      </c>
      <c r="I10" s="62">
        <f>IFERROR(G10/E10*100,0)</f>
        <v>90.945499360192855</v>
      </c>
      <c r="J10" s="62">
        <f t="shared" si="4"/>
        <v>19745.810000000001</v>
      </c>
      <c r="K10" s="62">
        <f>K14+K19</f>
        <v>16225</v>
      </c>
      <c r="L10" s="62">
        <f t="shared" si="4"/>
        <v>33217.879999999997</v>
      </c>
      <c r="M10" s="62">
        <f t="shared" si="4"/>
        <v>27825.11</v>
      </c>
      <c r="N10" s="62">
        <f t="shared" si="4"/>
        <v>39620.309529999999</v>
      </c>
      <c r="O10" s="62">
        <f t="shared" si="4"/>
        <v>36089.828479999996</v>
      </c>
      <c r="P10" s="62">
        <f t="shared" si="4"/>
        <v>73048.51999999999</v>
      </c>
      <c r="Q10" s="62">
        <f t="shared" si="4"/>
        <v>76789.97</v>
      </c>
      <c r="R10" s="62">
        <f t="shared" si="4"/>
        <v>18261.150000000001</v>
      </c>
      <c r="S10" s="62">
        <f t="shared" si="4"/>
        <v>15329.3</v>
      </c>
      <c r="T10" s="62">
        <f>T14+T19</f>
        <v>46751.18</v>
      </c>
      <c r="U10" s="62">
        <f t="shared" si="4"/>
        <v>37215.589999999997</v>
      </c>
      <c r="V10" s="62">
        <f t="shared" si="4"/>
        <v>32950.06</v>
      </c>
      <c r="W10" s="62">
        <f t="shared" si="4"/>
        <v>24701.71</v>
      </c>
      <c r="X10" s="62">
        <f t="shared" si="4"/>
        <v>36789.279999999999</v>
      </c>
      <c r="Y10" s="62">
        <f t="shared" si="4"/>
        <v>36012.400000000001</v>
      </c>
      <c r="Z10" s="62">
        <f t="shared" si="4"/>
        <v>82239.399999999994</v>
      </c>
      <c r="AA10" s="62">
        <f t="shared" si="4"/>
        <v>84998.63</v>
      </c>
      <c r="AB10" s="62">
        <f t="shared" si="4"/>
        <v>48983.99</v>
      </c>
      <c r="AC10" s="62">
        <f t="shared" si="4"/>
        <v>37340.130000000005</v>
      </c>
      <c r="AD10" s="62">
        <f t="shared" si="4"/>
        <v>11270.91</v>
      </c>
      <c r="AE10" s="62">
        <f t="shared" si="4"/>
        <v>0</v>
      </c>
      <c r="AF10" s="62">
        <f t="shared" si="4"/>
        <v>17406.78</v>
      </c>
      <c r="AG10" s="62">
        <f t="shared" si="4"/>
        <v>0</v>
      </c>
      <c r="AH10" s="64"/>
    </row>
    <row r="11" spans="1:35" s="22" customFormat="1" ht="38.25" customHeight="1" x14ac:dyDescent="0.25">
      <c r="A11" s="583"/>
      <c r="B11" s="529"/>
      <c r="C11" s="376" t="s">
        <v>40</v>
      </c>
      <c r="D11" s="62">
        <f>D15</f>
        <v>4811.9979999999996</v>
      </c>
      <c r="E11" s="62">
        <f>E15</f>
        <v>4143.0139999999992</v>
      </c>
      <c r="F11" s="62">
        <f t="shared" ref="F11:AG11" si="5">F15</f>
        <v>1935.33</v>
      </c>
      <c r="G11" s="62">
        <f t="shared" si="5"/>
        <v>1935.33</v>
      </c>
      <c r="H11" s="62">
        <f>IFERROR(G11/D11*100,0)</f>
        <v>40.218844646236349</v>
      </c>
      <c r="I11" s="62">
        <f>IFERROR(G11/E11*100,0)</f>
        <v>46.713093414601069</v>
      </c>
      <c r="J11" s="62">
        <f t="shared" si="5"/>
        <v>405.21</v>
      </c>
      <c r="K11" s="62">
        <f t="shared" si="5"/>
        <v>95.28</v>
      </c>
      <c r="L11" s="62">
        <f t="shared" si="5"/>
        <v>440.59</v>
      </c>
      <c r="M11" s="62">
        <f t="shared" si="5"/>
        <v>74.86</v>
      </c>
      <c r="N11" s="62">
        <f t="shared" si="5"/>
        <v>316.95</v>
      </c>
      <c r="O11" s="62">
        <f t="shared" si="5"/>
        <v>16.68</v>
      </c>
      <c r="P11" s="62">
        <f t="shared" si="5"/>
        <v>415.02</v>
      </c>
      <c r="Q11" s="62">
        <f t="shared" si="5"/>
        <v>154.47</v>
      </c>
      <c r="R11" s="62">
        <f t="shared" si="5"/>
        <v>377.0889999999996</v>
      </c>
      <c r="S11" s="62">
        <f t="shared" si="5"/>
        <v>150.27000000000001</v>
      </c>
      <c r="T11" s="62">
        <f>T15</f>
        <v>456.59200000000021</v>
      </c>
      <c r="U11" s="62">
        <f t="shared" si="5"/>
        <v>193.52</v>
      </c>
      <c r="V11" s="62">
        <f t="shared" si="5"/>
        <v>497.37</v>
      </c>
      <c r="W11" s="62">
        <f t="shared" si="5"/>
        <v>245.4</v>
      </c>
      <c r="X11" s="62">
        <f t="shared" si="5"/>
        <v>579.06700000000012</v>
      </c>
      <c r="Y11" s="62">
        <f t="shared" si="5"/>
        <v>287.62</v>
      </c>
      <c r="Z11" s="62">
        <f t="shared" si="5"/>
        <v>352.53300000000002</v>
      </c>
      <c r="AA11" s="62">
        <f t="shared" si="5"/>
        <v>436.59</v>
      </c>
      <c r="AB11" s="62">
        <f t="shared" si="5"/>
        <v>302.59300000000007</v>
      </c>
      <c r="AC11" s="62">
        <f>AC15</f>
        <v>280.64</v>
      </c>
      <c r="AD11" s="62">
        <f t="shared" si="5"/>
        <v>316.916</v>
      </c>
      <c r="AE11" s="62">
        <f t="shared" si="5"/>
        <v>0</v>
      </c>
      <c r="AF11" s="62">
        <f t="shared" si="5"/>
        <v>352.06800000000032</v>
      </c>
      <c r="AG11" s="62">
        <f t="shared" si="5"/>
        <v>0</v>
      </c>
      <c r="AH11" s="64"/>
    </row>
    <row r="12" spans="1:35" s="22" customFormat="1" ht="18.75" customHeight="1" x14ac:dyDescent="0.25">
      <c r="A12" s="66"/>
      <c r="B12" s="536" t="s">
        <v>43</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8"/>
      <c r="AH12" s="64"/>
    </row>
    <row r="13" spans="1:35" s="21" customFormat="1" ht="264" customHeight="1" x14ac:dyDescent="0.25">
      <c r="A13" s="581" t="s">
        <v>37</v>
      </c>
      <c r="B13" s="527" t="s">
        <v>41</v>
      </c>
      <c r="C13" s="57" t="s">
        <v>20</v>
      </c>
      <c r="D13" s="58">
        <f>SUM(J13,L13,N13,P13,R13,T13,V13,X13,Z13,AB13,AD13,AF13)</f>
        <v>452414.96753000002</v>
      </c>
      <c r="E13" s="58">
        <f t="shared" ref="E13" si="6">E14+E15</f>
        <v>423068.29353000002</v>
      </c>
      <c r="F13" s="58">
        <f>F14+F15</f>
        <v>385608.60848</v>
      </c>
      <c r="G13" s="58">
        <f>G14+G15</f>
        <v>385608.60848</v>
      </c>
      <c r="H13" s="58">
        <f>IFERROR(G13/D13*100,0)</f>
        <v>85.233388847691018</v>
      </c>
      <c r="I13" s="58">
        <f>IFERROR(G13/E13*100,0)</f>
        <v>91.145712022651551</v>
      </c>
      <c r="J13" s="59">
        <f>J14+J15</f>
        <v>20151.02</v>
      </c>
      <c r="K13" s="59">
        <f t="shared" ref="K13:AG13" si="7">K14+K15</f>
        <v>16320.28</v>
      </c>
      <c r="L13" s="59">
        <f t="shared" si="7"/>
        <v>32586.82</v>
      </c>
      <c r="M13" s="59">
        <f t="shared" si="7"/>
        <v>26828.32</v>
      </c>
      <c r="N13" s="59">
        <f t="shared" si="7"/>
        <v>38768.559529999999</v>
      </c>
      <c r="O13" s="59">
        <f t="shared" si="7"/>
        <v>34937.80848</v>
      </c>
      <c r="P13" s="59">
        <f t="shared" si="7"/>
        <v>72103.39</v>
      </c>
      <c r="Q13" s="59">
        <f t="shared" si="7"/>
        <v>75584.290000000008</v>
      </c>
      <c r="R13" s="59">
        <f t="shared" si="7"/>
        <v>17638.239000000001</v>
      </c>
      <c r="S13" s="59">
        <f t="shared" si="7"/>
        <v>15479.57</v>
      </c>
      <c r="T13" s="59">
        <f>T14+T15</f>
        <v>44739.121999999996</v>
      </c>
      <c r="U13" s="59">
        <f t="shared" si="7"/>
        <v>37409.109999999993</v>
      </c>
      <c r="V13" s="59">
        <f t="shared" si="7"/>
        <v>31991.079999999998</v>
      </c>
      <c r="W13" s="59">
        <f t="shared" si="7"/>
        <v>22244.86</v>
      </c>
      <c r="X13" s="59">
        <f t="shared" si="7"/>
        <v>35880.997000000003</v>
      </c>
      <c r="Y13" s="59">
        <f t="shared" si="7"/>
        <v>35100.120000000003</v>
      </c>
      <c r="Z13" s="59">
        <f t="shared" si="7"/>
        <v>81591.93299999999</v>
      </c>
      <c r="AA13" s="59">
        <f t="shared" si="7"/>
        <v>85118.64</v>
      </c>
      <c r="AB13" s="59">
        <f t="shared" si="7"/>
        <v>47617.133000000002</v>
      </c>
      <c r="AC13" s="59">
        <f t="shared" si="7"/>
        <v>36585.61</v>
      </c>
      <c r="AD13" s="59">
        <f t="shared" si="7"/>
        <v>11587.825999999999</v>
      </c>
      <c r="AE13" s="59">
        <f t="shared" si="7"/>
        <v>0</v>
      </c>
      <c r="AF13" s="59">
        <f t="shared" si="7"/>
        <v>17758.847999999998</v>
      </c>
      <c r="AG13" s="59">
        <f t="shared" si="7"/>
        <v>0</v>
      </c>
      <c r="AH13" s="262" t="s">
        <v>435</v>
      </c>
      <c r="AI13" s="23"/>
    </row>
    <row r="14" spans="1:35" s="292" customFormat="1" ht="66" customHeight="1" x14ac:dyDescent="0.25">
      <c r="A14" s="582"/>
      <c r="B14" s="528"/>
      <c r="C14" s="285" t="s">
        <v>21</v>
      </c>
      <c r="D14" s="286">
        <f>SUM(J14,L14,N14,P14,R14,T14,V14,X14,Z14,AB14,AD14,AF14)</f>
        <v>447602.96953</v>
      </c>
      <c r="E14" s="286">
        <f>J14+L14+N14+P14+R14+T14+V14+X14+Z14+AB14</f>
        <v>418925.27953</v>
      </c>
      <c r="F14" s="293">
        <f>G14</f>
        <v>383673.27847999998</v>
      </c>
      <c r="G14" s="286">
        <f>SUM(K14,M14,O14,Q14,S14,U14,W14,Y14,AA14,AC14,AE14,AG14)</f>
        <v>383673.27847999998</v>
      </c>
      <c r="H14" s="286">
        <f>IFERROR(G14/D14*100,0)</f>
        <v>85.717321956749174</v>
      </c>
      <c r="I14" s="286">
        <f>IFERROR(G14/E14*100,0)</f>
        <v>91.585133967195802</v>
      </c>
      <c r="J14" s="287">
        <v>19745.810000000001</v>
      </c>
      <c r="K14" s="287">
        <v>16225</v>
      </c>
      <c r="L14" s="287">
        <v>32146.23</v>
      </c>
      <c r="M14" s="290">
        <v>26753.46</v>
      </c>
      <c r="N14" s="287">
        <v>38451.609530000002</v>
      </c>
      <c r="O14" s="290">
        <v>34921.128479999999</v>
      </c>
      <c r="P14" s="287">
        <v>71688.37</v>
      </c>
      <c r="Q14" s="287">
        <f>10207.02+65222.8</f>
        <v>75429.820000000007</v>
      </c>
      <c r="R14" s="287">
        <f>9941.25+7319.9</f>
        <v>17261.150000000001</v>
      </c>
      <c r="S14" s="287">
        <v>15329.3</v>
      </c>
      <c r="T14" s="287">
        <v>44282.53</v>
      </c>
      <c r="U14" s="287">
        <v>37215.589999999997</v>
      </c>
      <c r="V14" s="287">
        <v>31493.71</v>
      </c>
      <c r="W14" s="287">
        <v>21999.46</v>
      </c>
      <c r="X14" s="287">
        <v>35301.93</v>
      </c>
      <c r="Y14" s="287">
        <v>34812.5</v>
      </c>
      <c r="Z14" s="287">
        <v>81239.399999999994</v>
      </c>
      <c r="AA14" s="287">
        <v>84682.05</v>
      </c>
      <c r="AB14" s="287">
        <v>47314.54</v>
      </c>
      <c r="AC14" s="287">
        <v>36304.97</v>
      </c>
      <c r="AD14" s="287">
        <v>11270.91</v>
      </c>
      <c r="AE14" s="287">
        <v>0</v>
      </c>
      <c r="AF14" s="287">
        <v>17406.78</v>
      </c>
      <c r="AG14" s="287">
        <v>0</v>
      </c>
      <c r="AH14" s="496" t="s">
        <v>436</v>
      </c>
      <c r="AI14" s="291"/>
    </row>
    <row r="15" spans="1:35" s="289" customFormat="1" ht="58.5" customHeight="1" x14ac:dyDescent="0.25">
      <c r="A15" s="583"/>
      <c r="B15" s="529"/>
      <c r="C15" s="285" t="s">
        <v>40</v>
      </c>
      <c r="D15" s="286">
        <f>SUM(J15,L15,N15,P15,R15,T15,V15,X15,Z15,AB15,AD15,AF15)</f>
        <v>4811.9979999999996</v>
      </c>
      <c r="E15" s="286">
        <f>J15+L15+N15+P15+R15+T15+V15+X15+Z15+AB15</f>
        <v>4143.0139999999992</v>
      </c>
      <c r="F15" s="294">
        <f>G15</f>
        <v>1935.33</v>
      </c>
      <c r="G15" s="286">
        <f>SUM(K15,M15,O15,Q15,S15,U15,W15,Y15,AA15,AC15,AE15,AG15)</f>
        <v>1935.33</v>
      </c>
      <c r="H15" s="286">
        <f>IFERROR(G15/D15*100,0)</f>
        <v>40.218844646236349</v>
      </c>
      <c r="I15" s="286">
        <f>IFERROR(G15/E15*100,0)</f>
        <v>46.713093414601069</v>
      </c>
      <c r="J15" s="287">
        <v>405.21</v>
      </c>
      <c r="K15" s="287">
        <v>95.28</v>
      </c>
      <c r="L15" s="287">
        <v>440.59</v>
      </c>
      <c r="M15" s="287">
        <v>74.86</v>
      </c>
      <c r="N15" s="287">
        <v>316.95</v>
      </c>
      <c r="O15" s="287">
        <v>16.68</v>
      </c>
      <c r="P15" s="287">
        <v>415.02</v>
      </c>
      <c r="Q15" s="287">
        <v>154.47</v>
      </c>
      <c r="R15" s="287">
        <v>377.0889999999996</v>
      </c>
      <c r="S15" s="287">
        <v>150.27000000000001</v>
      </c>
      <c r="T15" s="287">
        <v>456.59200000000021</v>
      </c>
      <c r="U15" s="287">
        <v>193.52</v>
      </c>
      <c r="V15" s="287">
        <v>497.37</v>
      </c>
      <c r="W15" s="287">
        <v>245.4</v>
      </c>
      <c r="X15" s="287">
        <v>579.06700000000012</v>
      </c>
      <c r="Y15" s="287">
        <v>287.62</v>
      </c>
      <c r="Z15" s="287">
        <v>352.53300000000002</v>
      </c>
      <c r="AA15" s="287">
        <v>436.59</v>
      </c>
      <c r="AB15" s="287">
        <v>302.59300000000007</v>
      </c>
      <c r="AC15" s="287">
        <v>280.64</v>
      </c>
      <c r="AD15" s="287">
        <v>316.916</v>
      </c>
      <c r="AE15" s="287">
        <v>0</v>
      </c>
      <c r="AF15" s="287">
        <v>352.06800000000032</v>
      </c>
      <c r="AG15" s="287">
        <v>0</v>
      </c>
      <c r="AH15" s="377"/>
      <c r="AI15" s="288"/>
    </row>
    <row r="16" spans="1:35" s="18" customFormat="1" ht="21" customHeight="1" x14ac:dyDescent="0.25">
      <c r="A16" s="68"/>
      <c r="B16" s="536" t="s">
        <v>42</v>
      </c>
      <c r="C16" s="537"/>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8"/>
      <c r="AH16" s="46"/>
      <c r="AI16" s="19"/>
    </row>
    <row r="17" spans="1:35" s="21" customFormat="1" ht="195" customHeight="1" x14ac:dyDescent="0.25">
      <c r="A17" s="581" t="s">
        <v>38</v>
      </c>
      <c r="B17" s="527" t="s">
        <v>44</v>
      </c>
      <c r="C17" s="57" t="s">
        <v>20</v>
      </c>
      <c r="D17" s="58">
        <f>SUM(J17,L17,N17,P17,R17,T17,V17,X17,Z17,AB17,AD17,AF17)</f>
        <v>17924.996499999997</v>
      </c>
      <c r="E17" s="58">
        <f t="shared" ref="E17:G17" si="8">E18+E19</f>
        <v>17916.088000000003</v>
      </c>
      <c r="F17" s="58">
        <f>F18+F19</f>
        <v>12950.759999999998</v>
      </c>
      <c r="G17" s="58">
        <f t="shared" si="8"/>
        <v>12950.759999999998</v>
      </c>
      <c r="H17" s="58">
        <f>IFERROR(G17/D17*100,0)</f>
        <v>72.249721220308189</v>
      </c>
      <c r="I17" s="58">
        <f>IFERROR(G17/E17*100,0)</f>
        <v>72.285646286175847</v>
      </c>
      <c r="J17" s="59">
        <f>J18+J19</f>
        <v>300</v>
      </c>
      <c r="K17" s="59">
        <f t="shared" ref="K17:AG17" si="9">K18+K19</f>
        <v>0</v>
      </c>
      <c r="L17" s="59">
        <f t="shared" si="9"/>
        <v>1205.1500000000001</v>
      </c>
      <c r="M17" s="59">
        <f t="shared" si="9"/>
        <v>1505.15</v>
      </c>
      <c r="N17" s="59">
        <f t="shared" si="9"/>
        <v>1168.7</v>
      </c>
      <c r="O17" s="59">
        <f t="shared" si="9"/>
        <v>1168.7</v>
      </c>
      <c r="P17" s="59">
        <f t="shared" si="9"/>
        <v>2720.3</v>
      </c>
      <c r="Q17" s="59">
        <f t="shared" si="9"/>
        <v>1360.15</v>
      </c>
      <c r="R17" s="59">
        <f t="shared" si="9"/>
        <v>2402.9695000000002</v>
      </c>
      <c r="S17" s="59">
        <f t="shared" si="9"/>
        <v>1331.51</v>
      </c>
      <c r="T17" s="59">
        <f t="shared" si="9"/>
        <v>3527.9695000000002</v>
      </c>
      <c r="U17" s="59">
        <f t="shared" si="9"/>
        <v>1471.62</v>
      </c>
      <c r="V17" s="59">
        <f t="shared" si="9"/>
        <v>1459.3194999999998</v>
      </c>
      <c r="W17" s="59">
        <f t="shared" si="9"/>
        <v>2705.22</v>
      </c>
      <c r="X17" s="59">
        <f t="shared" si="9"/>
        <v>1490.3194999999998</v>
      </c>
      <c r="Y17" s="59">
        <f t="shared" si="9"/>
        <v>1202.8700000000001</v>
      </c>
      <c r="Z17" s="59">
        <f t="shared" si="9"/>
        <v>1853.8200000000002</v>
      </c>
      <c r="AA17" s="59">
        <f t="shared" si="9"/>
        <v>1170.1199999999999</v>
      </c>
      <c r="AB17" s="59">
        <f t="shared" si="9"/>
        <v>1787.54</v>
      </c>
      <c r="AC17" s="59">
        <f t="shared" si="9"/>
        <v>1035.42</v>
      </c>
      <c r="AD17" s="59">
        <f t="shared" si="9"/>
        <v>2.9695</v>
      </c>
      <c r="AE17" s="59">
        <f t="shared" si="9"/>
        <v>0</v>
      </c>
      <c r="AF17" s="59">
        <f t="shared" si="9"/>
        <v>5.9390000000000001</v>
      </c>
      <c r="AG17" s="59">
        <f t="shared" si="9"/>
        <v>0</v>
      </c>
      <c r="AH17" s="495" t="s">
        <v>434</v>
      </c>
      <c r="AI17" s="20"/>
    </row>
    <row r="18" spans="1:35" s="305" customFormat="1" ht="82.5" customHeight="1" x14ac:dyDescent="0.25">
      <c r="A18" s="582"/>
      <c r="B18" s="528"/>
      <c r="C18" s="285" t="s">
        <v>22</v>
      </c>
      <c r="D18" s="286">
        <f>SUM(J18,L18,N18,P18,R18,T18,V18,X18,Z18,AB18,AD18,AF18)</f>
        <v>5242.6965000000009</v>
      </c>
      <c r="E18" s="286">
        <f>J18+L18+N18+P18+R18+T18+V18+X18+Z18+AB18</f>
        <v>5233.7880000000005</v>
      </c>
      <c r="F18" s="286">
        <f>G18</f>
        <v>4096.37</v>
      </c>
      <c r="G18" s="286">
        <f>SUM(K18,M18,O18,Q18,S18,U18,W18,Y18,AA18,AC18,AE18,AG18)</f>
        <v>4096.37</v>
      </c>
      <c r="H18" s="286">
        <f>IFERROR(G18/D18*100,0)</f>
        <v>78.134791895735319</v>
      </c>
      <c r="I18" s="286">
        <f>IFERROR(G18/E18*100,0)</f>
        <v>78.267786161762757</v>
      </c>
      <c r="J18" s="306">
        <v>300</v>
      </c>
      <c r="K18" s="306"/>
      <c r="L18" s="287">
        <v>133.5</v>
      </c>
      <c r="M18" s="287">
        <v>433.5</v>
      </c>
      <c r="N18" s="287"/>
      <c r="O18" s="287"/>
      <c r="P18" s="287">
        <f>1360150/1000</f>
        <v>1360.15</v>
      </c>
      <c r="Q18" s="287"/>
      <c r="R18" s="287">
        <f>1402969.5/1000</f>
        <v>1402.9694999999999</v>
      </c>
      <c r="S18" s="287">
        <v>1331.51</v>
      </c>
      <c r="T18" s="287">
        <f>1059319.5/1000</f>
        <v>1059.3195000000001</v>
      </c>
      <c r="U18" s="287">
        <v>1471.62</v>
      </c>
      <c r="V18" s="287">
        <f>2969.5/1000</f>
        <v>2.9695</v>
      </c>
      <c r="W18" s="287">
        <v>2.97</v>
      </c>
      <c r="X18" s="287">
        <f>2969.5/1000</f>
        <v>2.9695</v>
      </c>
      <c r="Y18" s="287">
        <v>2.97</v>
      </c>
      <c r="Z18" s="287">
        <v>853.82</v>
      </c>
      <c r="AA18" s="287">
        <v>853.54</v>
      </c>
      <c r="AB18" s="287">
        <v>118.09</v>
      </c>
      <c r="AC18" s="287">
        <v>0.26</v>
      </c>
      <c r="AD18" s="287">
        <f>2969.5/1000</f>
        <v>2.9695</v>
      </c>
      <c r="AE18" s="287"/>
      <c r="AF18" s="287">
        <f>5939/1000</f>
        <v>5.9390000000000001</v>
      </c>
      <c r="AG18" s="287"/>
      <c r="AH18" s="494"/>
      <c r="AI18" s="304"/>
    </row>
    <row r="19" spans="1:35" s="289" customFormat="1" ht="92.25" customHeight="1" x14ac:dyDescent="0.25">
      <c r="A19" s="583"/>
      <c r="B19" s="529"/>
      <c r="C19" s="285" t="s">
        <v>21</v>
      </c>
      <c r="D19" s="286">
        <f>SUM(J19,L19,N19,P19,R19,T19,V19,X19,Z19,AB19,AD19,AF19)</f>
        <v>12682.300000000001</v>
      </c>
      <c r="E19" s="286">
        <f>J19+L19+N19+P19+R19+T19+V19+X19+Z19+AB19</f>
        <v>12682.300000000001</v>
      </c>
      <c r="F19" s="286">
        <f>G19</f>
        <v>8854.39</v>
      </c>
      <c r="G19" s="286">
        <f>SUM(K19,M19,O19,Q19,S19,U19,W19,Y19,AA19,AC19,AE19,AG19)</f>
        <v>8854.39</v>
      </c>
      <c r="H19" s="286">
        <f>IFERROR(G19/D19*100,0)</f>
        <v>69.816910181907048</v>
      </c>
      <c r="I19" s="286">
        <f>IFERROR(G19/E19*100,0)</f>
        <v>69.816910181907048</v>
      </c>
      <c r="J19" s="287">
        <v>0</v>
      </c>
      <c r="K19" s="287">
        <v>0</v>
      </c>
      <c r="L19" s="287">
        <v>1071.6500000000001</v>
      </c>
      <c r="M19" s="287">
        <v>1071.6500000000001</v>
      </c>
      <c r="N19" s="287">
        <v>1168.7</v>
      </c>
      <c r="O19" s="287">
        <v>1168.7</v>
      </c>
      <c r="P19" s="287">
        <v>1360.15</v>
      </c>
      <c r="Q19" s="287">
        <v>1360.15</v>
      </c>
      <c r="R19" s="287">
        <v>1000</v>
      </c>
      <c r="S19" s="287">
        <v>0</v>
      </c>
      <c r="T19" s="287">
        <v>2468.65</v>
      </c>
      <c r="U19" s="287">
        <v>0</v>
      </c>
      <c r="V19" s="287">
        <v>1456.35</v>
      </c>
      <c r="W19" s="287">
        <v>2702.25</v>
      </c>
      <c r="X19" s="287">
        <v>1487.35</v>
      </c>
      <c r="Y19" s="287">
        <v>1199.9000000000001</v>
      </c>
      <c r="Z19" s="287">
        <v>1000</v>
      </c>
      <c r="AA19" s="287">
        <v>316.58</v>
      </c>
      <c r="AB19" s="287">
        <v>1669.45</v>
      </c>
      <c r="AC19" s="287">
        <v>1035.1600000000001</v>
      </c>
      <c r="AD19" s="287">
        <v>0</v>
      </c>
      <c r="AE19" s="287"/>
      <c r="AF19" s="287"/>
      <c r="AG19" s="287"/>
      <c r="AH19" s="494"/>
      <c r="AI19" s="288"/>
    </row>
  </sheetData>
  <customSheetViews>
    <customSheetView guid="{133BB3F8-8DD4-4AEF-8CD6-A5FB14681329}" scale="80" state="hidden">
      <pane xSplit="6" ySplit="7" topLeftCell="G8" activePane="bottomRight" state="frozen"/>
      <selection pane="bottomRight" activeCell="Q19" sqref="Q19"/>
      <pageMargins left="0.7" right="0.7" top="0.75" bottom="0.75" header="0.3" footer="0.3"/>
    </customSheetView>
    <customSheetView guid="{7C5A2A36-3D69-43D9-9018-A52C27EC78F9}" scale="80">
      <pane xSplit="6" ySplit="7" topLeftCell="G8" activePane="bottomRight" state="frozen"/>
      <selection pane="bottomRight" activeCell="J26" sqref="J26"/>
      <pageMargins left="0.7" right="0.7" top="0.75" bottom="0.75" header="0.3" footer="0.3"/>
    </customSheetView>
    <customSheetView guid="{2A5A11D4-90C6-4A3E-8165-7D7BD634B22F}" scale="80">
      <pane xSplit="6" ySplit="7" topLeftCell="G8" activePane="bottomRight" state="frozen"/>
      <selection pane="bottomRight" activeCell="J26" sqref="J26"/>
      <pageMargins left="0.7" right="0.7" top="0.75" bottom="0.75" header="0.3" footer="0.3"/>
    </customSheetView>
    <customSheetView guid="{996EC2F0-F6EC-4E63-A83E-34865157BD8D}" scale="80">
      <pane xSplit="6" ySplit="7" topLeftCell="G8" activePane="bottomRight" state="frozen"/>
      <selection pane="bottomRight" activeCell="J26" sqref="J26"/>
      <pageMargins left="0.7" right="0.7" top="0.75" bottom="0.75" header="0.3" footer="0.3"/>
    </customSheetView>
    <customSheetView guid="{AB9978E4-895D-4050-8F07-2484E22632D1}" scale="80">
      <pane xSplit="6" ySplit="7" topLeftCell="G8" activePane="bottomRight" state="frozen"/>
      <selection pane="bottomRight" activeCell="J26" sqref="J26"/>
      <pageMargins left="0.7" right="0.7" top="0.75" bottom="0.75" header="0.3" footer="0.3"/>
    </customSheetView>
    <customSheetView guid="{21E1D423-7B38-4272-8354-09B4DB62C9EB}" scale="80">
      <pane xSplit="6" ySplit="7" topLeftCell="G8" activePane="bottomRight" state="frozen"/>
      <selection pane="bottomRight" activeCell="J26" sqref="J26"/>
      <pageMargins left="0.7" right="0.7" top="0.75" bottom="0.75" header="0.3" footer="0.3"/>
    </customSheetView>
    <customSheetView guid="{2940A182-D1A7-43C5-8D6E-965BED4371B0}" scale="80">
      <pane xSplit="6" ySplit="7" topLeftCell="G8" activePane="bottomRight" state="frozen"/>
      <selection pane="bottomRight" activeCell="J26" sqref="J26"/>
      <pageMargins left="0.7" right="0.7" top="0.75" bottom="0.75" header="0.3" footer="0.3"/>
    </customSheetView>
    <customSheetView guid="{A0E2FBF6-E560-4343-8BE6-217DC798135B}" scale="80">
      <pane xSplit="6" ySplit="7" topLeftCell="G8" activePane="bottomRight" state="frozen"/>
      <selection pane="bottomRight" activeCell="J26" sqref="J26"/>
      <pageMargins left="0.7" right="0.7" top="0.75" bottom="0.75" header="0.3" footer="0.3"/>
    </customSheetView>
    <customSheetView guid="{BBF6B43F-E0FC-43DF-B91C-674F6AB4B556}" scale="80">
      <pane xSplit="6" ySplit="7" topLeftCell="G8" activePane="bottomRight" state="frozen"/>
      <selection pane="bottomRight" activeCell="J26" sqref="J26"/>
      <pageMargins left="0.7" right="0.7" top="0.75" bottom="0.75" header="0.3" footer="0.3"/>
    </customSheetView>
    <customSheetView guid="{C68436F4-AFB3-4D1D-A7C4-56D0C677D68E}" scale="80">
      <pane xSplit="6" ySplit="7" topLeftCell="G8" activePane="bottomRight" state="frozen"/>
      <selection pane="bottomRight" activeCell="J26" sqref="J26"/>
      <pageMargins left="0.7" right="0.7" top="0.75" bottom="0.75" header="0.3" footer="0.3"/>
    </customSheetView>
    <customSheetView guid="{DAEDC989-02E7-4319-8354-59410ACF3F1F}" scale="80">
      <pane xSplit="6" ySplit="7" topLeftCell="U8" activePane="bottomRight" state="frozen"/>
      <selection pane="bottomRight" activeCell="AH13" sqref="AH13"/>
      <pageMargins left="0.7" right="0.7" top="0.75" bottom="0.75" header="0.3" footer="0.3"/>
      <pageSetup paperSize="9" orientation="portrait" r:id="rId1"/>
    </customSheetView>
    <customSheetView guid="{519948E4-0B24-465F-9D9E-44BE50D1D647}" scale="80">
      <pane xSplit="6" ySplit="7" topLeftCell="G8" activePane="bottomRight" state="frozen"/>
      <selection pane="bottomRight" activeCell="J26" sqref="J26"/>
      <pageMargins left="0.7" right="0.7" top="0.75" bottom="0.75" header="0.3" footer="0.3"/>
    </customSheetView>
    <customSheetView guid="{C7DC638A-7F60-46C9-A1FB-9ADEAE87F332}" scale="80">
      <pane xSplit="6" ySplit="7" topLeftCell="G8" activePane="bottomRight" state="frozen"/>
      <selection pane="bottomRight" activeCell="J26" sqref="J26"/>
      <pageMargins left="0.7" right="0.7" top="0.75" bottom="0.75" header="0.3" footer="0.3"/>
    </customSheetView>
    <customSheetView guid="{C01DC081-B312-4391-B775-A8CE76216D71}" scale="80">
      <pane xSplit="6" ySplit="7" topLeftCell="G8" activePane="bottomRight" state="frozen"/>
      <selection pane="bottomRight" activeCell="J26" sqref="J26"/>
      <pageMargins left="0.7" right="0.7" top="0.75" bottom="0.75" header="0.3" footer="0.3"/>
    </customSheetView>
    <customSheetView guid="{562453CE-35F5-40A3-AD14-6399D1197C99}" scale="80">
      <pane xSplit="6" ySplit="7" topLeftCell="U14" activePane="bottomRight" state="frozen"/>
      <selection pane="bottomRight" activeCell="AH13" sqref="AH13"/>
      <pageMargins left="0.7" right="0.7" top="0.75" bottom="0.75" header="0.3" footer="0.3"/>
      <pageSetup paperSize="9" orientation="portrait" r:id="rId2"/>
    </customSheetView>
    <customSheetView guid="{A7640BE7-6438-4196-9A67-AF5B992A1E70}" scale="80">
      <pane xSplit="6" ySplit="7" topLeftCell="AA8" activePane="bottomRight" state="frozen"/>
      <selection pane="bottomRight" activeCell="AH13" sqref="AH13"/>
      <pageMargins left="0.7" right="0.7" top="0.75" bottom="0.75" header="0.3" footer="0.3"/>
    </customSheetView>
    <customSheetView guid="{30B635D9-57DB-47D5-8A0F-4B30DD769960}" scale="80">
      <pane xSplit="6" ySplit="7" topLeftCell="G8" activePane="bottomRight" state="frozen"/>
      <selection pane="bottomRight" activeCell="J26" sqref="J26"/>
      <pageMargins left="0.7" right="0.7" top="0.75" bottom="0.75" header="0.3" footer="0.3"/>
    </customSheetView>
    <customSheetView guid="{20A05A62-CBE8-4538-BBC3-2AD9D3B8FAC0}" scale="80">
      <pane xSplit="6" ySplit="7" topLeftCell="G8" activePane="bottomRight" state="frozen"/>
      <selection pane="bottomRight" activeCell="J26" sqref="J26"/>
      <pageMargins left="0.7" right="0.7" top="0.75" bottom="0.75" header="0.3" footer="0.3"/>
    </customSheetView>
    <customSheetView guid="{C282AA4E-1BB5-4296-9AC6-844C0F88E5FC}" scale="80">
      <pane xSplit="6" ySplit="7" topLeftCell="G8" activePane="bottomRight" state="frozen"/>
      <selection pane="bottomRight" activeCell="J26" sqref="J26"/>
      <pageMargins left="0.7" right="0.7" top="0.75" bottom="0.75" header="0.3" footer="0.3"/>
    </customSheetView>
    <customSheetView guid="{4E221C17-6DAB-4FFA-B18C-35D4D85AF6E8}" scale="80">
      <pane xSplit="6" ySplit="7" topLeftCell="G8" activePane="bottomRight" state="frozen"/>
      <selection pane="bottomRight" activeCell="J26" sqref="J26"/>
      <pageMargins left="0.7" right="0.7" top="0.75" bottom="0.75" header="0.3" footer="0.3"/>
    </customSheetView>
    <customSheetView guid="{AFADB96A-0516-43C1-9F1B-0604F3CAC04A}" scale="80">
      <pane xSplit="6" ySplit="7" topLeftCell="G8" activePane="bottomRight" state="frozen"/>
      <selection pane="bottomRight" activeCell="J26" sqref="J26"/>
      <pageMargins left="0.7" right="0.7" top="0.75" bottom="0.75" header="0.3" footer="0.3"/>
    </customSheetView>
    <customSheetView guid="{F528EF6A-C113-49B5-B25F-D660F898CBFB}" scale="80">
      <pane xSplit="6" ySplit="7" topLeftCell="G8" activePane="bottomRight" state="frozen"/>
      <selection pane="bottomRight" activeCell="J26" sqref="J26"/>
      <pageMargins left="0.7" right="0.7" top="0.75" bottom="0.75" header="0.3" footer="0.3"/>
    </customSheetView>
    <customSheetView guid="{B6B60ED6-A6CC-4DA7-A8CA-5E6DB52D5A87}" scale="80">
      <pane xSplit="6" ySplit="7" topLeftCell="G14" activePane="bottomRight" state="frozen"/>
      <selection pane="bottomRight" activeCell="G22" sqref="G22"/>
      <pageMargins left="0.7" right="0.7" top="0.75" bottom="0.75" header="0.3" footer="0.3"/>
      <pageSetup paperSize="9" orientation="portrait" r:id="rId3"/>
    </customSheetView>
    <customSheetView guid="{A4AF2100-C59D-4F60-9EAB-56D9103463F7}" scale="85">
      <pane xSplit="6" ySplit="7" topLeftCell="AA11" activePane="bottomRight" state="frozen"/>
      <selection pane="bottomRight" activeCell="AH14" sqref="AH14"/>
      <pageMargins left="0.7" right="0.7" top="0.75" bottom="0.75" header="0.3" footer="0.3"/>
    </customSheetView>
    <customSheetView guid="{EA46B61D-849C-4795-A4FF-F8F1740022EB}" scale="80">
      <pane xSplit="6" ySplit="7" topLeftCell="G8" activePane="bottomRight" state="frozen"/>
      <selection pane="bottomRight" activeCell="J26" sqref="J26"/>
      <pageMargins left="0.7" right="0.7" top="0.75" bottom="0.75" header="0.3" footer="0.3"/>
    </customSheetView>
    <customSheetView guid="{B686A221-D885-4536-BEAC-E7F4BBC02150}" scale="80">
      <pane xSplit="6" ySplit="7" topLeftCell="G14" activePane="bottomRight" state="frozen"/>
      <selection pane="bottomRight" activeCell="G22" sqref="G22"/>
      <pageMargins left="0.7" right="0.7" top="0.75" bottom="0.75" header="0.3" footer="0.3"/>
      <pageSetup paperSize="9" orientation="portrait" r:id="rId4"/>
    </customSheetView>
    <customSheetView guid="{60A1F930-4BEC-460A-8E14-01E47F6DD055}" scale="85">
      <pane xSplit="6" ySplit="4" topLeftCell="G8" activePane="bottomRight" state="frozen"/>
      <selection pane="bottomRight" activeCell="J26" sqref="J26"/>
      <pageMargins left="0.7" right="0.7" top="0.75" bottom="0.75" header="0.3" footer="0.3"/>
    </customSheetView>
    <customSheetView guid="{5DF2C78B-5EE4-439D-8D72-8D3A913B65F9}" scale="80">
      <pane xSplit="6" ySplit="7" topLeftCell="G8" activePane="bottomRight" state="frozen"/>
      <selection pane="bottomRight" activeCell="J26" sqref="J26"/>
      <pageMargins left="0.7" right="0.7" top="0.75" bottom="0.75" header="0.3" footer="0.3"/>
    </customSheetView>
  </customSheetViews>
  <mergeCells count="31">
    <mergeCell ref="T4:U5"/>
    <mergeCell ref="B16:AG16"/>
    <mergeCell ref="A17:A19"/>
    <mergeCell ref="B17:B19"/>
    <mergeCell ref="AH4:AH6"/>
    <mergeCell ref="B12:AG12"/>
    <mergeCell ref="A13:A15"/>
    <mergeCell ref="B13:B15"/>
    <mergeCell ref="B8:B11"/>
    <mergeCell ref="A8:A11"/>
    <mergeCell ref="V4:W5"/>
    <mergeCell ref="X4:Y5"/>
    <mergeCell ref="Z4:AA5"/>
    <mergeCell ref="AB4:AC5"/>
    <mergeCell ref="AD4:AE5"/>
    <mergeCell ref="AF4:AG5"/>
    <mergeCell ref="C2:S2"/>
    <mergeCell ref="C3:S3"/>
    <mergeCell ref="A4:A6"/>
    <mergeCell ref="B4:B6"/>
    <mergeCell ref="C4:C6"/>
    <mergeCell ref="D4:D5"/>
    <mergeCell ref="E4:E5"/>
    <mergeCell ref="F4:F5"/>
    <mergeCell ref="G4:G5"/>
    <mergeCell ref="H4:I5"/>
    <mergeCell ref="L4:M5"/>
    <mergeCell ref="N4:O5"/>
    <mergeCell ref="P4:Q5"/>
    <mergeCell ref="R4:S5"/>
    <mergeCell ref="J4:K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
  <sheetViews>
    <sheetView zoomScale="90" zoomScaleNormal="90" workbookViewId="0">
      <pane xSplit="6" ySplit="7" topLeftCell="G8" activePane="bottomRight" state="frozen"/>
      <selection pane="topRight" activeCell="G1" sqref="G1"/>
      <selection pane="bottomLeft" activeCell="A8" sqref="A8"/>
      <selection pane="bottomRight" activeCell="C14" sqref="C14"/>
    </sheetView>
  </sheetViews>
  <sheetFormatPr defaultColWidth="9.140625" defaultRowHeight="15.75" x14ac:dyDescent="0.25"/>
  <cols>
    <col min="1" max="1" width="6.5703125" style="53" customWidth="1"/>
    <col min="2" max="2" width="42.710937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7.1406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33" customFormat="1" ht="24" customHeight="1" x14ac:dyDescent="0.25">
      <c r="C3" s="513" t="s">
        <v>108</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33"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33"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33" customFormat="1" ht="64.5" customHeight="1" x14ac:dyDescent="0.25">
      <c r="A6" s="516"/>
      <c r="B6" s="519"/>
      <c r="C6" s="519"/>
      <c r="D6" s="38">
        <v>2025</v>
      </c>
      <c r="E6" s="39">
        <v>45931</v>
      </c>
      <c r="F6" s="39">
        <v>45931</v>
      </c>
      <c r="G6" s="39">
        <v>45931</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41" customFormat="1"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42" customFormat="1" ht="27" customHeight="1" x14ac:dyDescent="0.25">
      <c r="A8" s="569"/>
      <c r="B8" s="533" t="s">
        <v>23</v>
      </c>
      <c r="C8" s="69" t="s">
        <v>20</v>
      </c>
      <c r="D8" s="70">
        <f>D9+D10</f>
        <v>29798.3</v>
      </c>
      <c r="E8" s="70">
        <f t="shared" ref="E8:G8" si="0">E9+E10</f>
        <v>10312.825999999999</v>
      </c>
      <c r="F8" s="70">
        <f t="shared" si="0"/>
        <v>22654.996419999999</v>
      </c>
      <c r="G8" s="70">
        <f t="shared" si="0"/>
        <v>22654.996419999999</v>
      </c>
      <c r="H8" s="70">
        <f>IFERROR(G8/D8*100,0)</f>
        <v>76.027815076699</v>
      </c>
      <c r="I8" s="70">
        <f>IFERROR(G8/E8*100,0)</f>
        <v>219.67786928626549</v>
      </c>
      <c r="J8" s="71">
        <f>J9+J10</f>
        <v>2833.6880000000001</v>
      </c>
      <c r="K8" s="71">
        <f t="shared" ref="K8:AG8" si="1">K9+K10</f>
        <v>1404.721</v>
      </c>
      <c r="L8" s="71">
        <f t="shared" si="1"/>
        <v>1680.212</v>
      </c>
      <c r="M8" s="71">
        <f t="shared" si="1"/>
        <v>2087.2600000000002</v>
      </c>
      <c r="N8" s="71">
        <f t="shared" si="1"/>
        <v>1068.1030000000001</v>
      </c>
      <c r="O8" s="71">
        <f t="shared" si="1"/>
        <v>1354.241</v>
      </c>
      <c r="P8" s="71">
        <f t="shared" si="1"/>
        <v>2024.9739999999999</v>
      </c>
      <c r="Q8" s="71">
        <f t="shared" si="1"/>
        <v>1331.1</v>
      </c>
      <c r="R8" s="71">
        <f t="shared" si="1"/>
        <v>1527.9469999999999</v>
      </c>
      <c r="S8" s="71">
        <f t="shared" si="1"/>
        <v>1187.7760000000001</v>
      </c>
      <c r="T8" s="71">
        <f t="shared" si="1"/>
        <v>1177.902</v>
      </c>
      <c r="U8" s="71">
        <f t="shared" si="1"/>
        <v>1824.8240000000001</v>
      </c>
      <c r="V8" s="71">
        <f t="shared" si="1"/>
        <v>9767.4740000000002</v>
      </c>
      <c r="W8" s="71">
        <f t="shared" si="1"/>
        <v>2041.5350000000001</v>
      </c>
      <c r="X8" s="71">
        <f t="shared" si="1"/>
        <v>4127.9470000000001</v>
      </c>
      <c r="Y8" s="71">
        <f t="shared" si="1"/>
        <v>1540.961</v>
      </c>
      <c r="Z8" s="71">
        <f t="shared" si="1"/>
        <v>1127.702</v>
      </c>
      <c r="AA8" s="71">
        <f t="shared" si="1"/>
        <v>9882.5784199999998</v>
      </c>
      <c r="AB8" s="71">
        <f t="shared" si="1"/>
        <v>1668.9380000000001</v>
      </c>
      <c r="AC8" s="71">
        <f t="shared" si="1"/>
        <v>0</v>
      </c>
      <c r="AD8" s="71">
        <f t="shared" si="1"/>
        <v>1420.425</v>
      </c>
      <c r="AE8" s="71">
        <f t="shared" si="1"/>
        <v>0</v>
      </c>
      <c r="AF8" s="71">
        <f t="shared" si="1"/>
        <v>1372.9880000000001</v>
      </c>
      <c r="AG8" s="71">
        <f t="shared" si="1"/>
        <v>0</v>
      </c>
      <c r="AH8" s="72"/>
    </row>
    <row r="9" spans="1:35" s="44" customFormat="1" ht="44.25" customHeight="1" x14ac:dyDescent="0.25">
      <c r="A9" s="580"/>
      <c r="B9" s="534"/>
      <c r="C9" s="73" t="s">
        <v>22</v>
      </c>
      <c r="D9" s="74">
        <f t="shared" ref="D9:D10" si="2">J9+L9+N9+P9+R9+T9+V9+X9+Z9+AB9+AD9+AF9</f>
        <v>4313.7</v>
      </c>
      <c r="E9" s="74">
        <f t="shared" ref="E9" si="3">J9</f>
        <v>0</v>
      </c>
      <c r="F9" s="74">
        <f t="shared" ref="F9:F10" si="4">G9</f>
        <v>4266.7</v>
      </c>
      <c r="G9" s="74">
        <f t="shared" ref="G9" si="5">K9+M9+O9+Q9+S9+U9+W9+Y9+AA9+AC9+AE9+AG9</f>
        <v>4266.7</v>
      </c>
      <c r="H9" s="74">
        <f>IFERROR(G9/D9*100,0)</f>
        <v>98.910448107193361</v>
      </c>
      <c r="I9" s="74">
        <f>IFERROR(G9/E9*100,0)</f>
        <v>0</v>
      </c>
      <c r="J9" s="74">
        <f>J13</f>
        <v>0</v>
      </c>
      <c r="K9" s="74">
        <f t="shared" ref="K9:AG9" si="6">K13</f>
        <v>0</v>
      </c>
      <c r="L9" s="74">
        <f t="shared" si="6"/>
        <v>0</v>
      </c>
      <c r="M9" s="74">
        <f t="shared" si="6"/>
        <v>0</v>
      </c>
      <c r="N9" s="74">
        <f t="shared" si="6"/>
        <v>0</v>
      </c>
      <c r="O9" s="74">
        <f t="shared" si="6"/>
        <v>0</v>
      </c>
      <c r="P9" s="74">
        <f t="shared" si="6"/>
        <v>0</v>
      </c>
      <c r="Q9" s="74">
        <f t="shared" si="6"/>
        <v>0</v>
      </c>
      <c r="R9" s="74">
        <f t="shared" si="6"/>
        <v>0</v>
      </c>
      <c r="S9" s="74">
        <f t="shared" si="6"/>
        <v>0</v>
      </c>
      <c r="T9" s="74">
        <f t="shared" si="6"/>
        <v>0</v>
      </c>
      <c r="U9" s="74">
        <f t="shared" si="6"/>
        <v>0</v>
      </c>
      <c r="V9" s="74">
        <f t="shared" si="6"/>
        <v>4313.7</v>
      </c>
      <c r="W9" s="74">
        <f t="shared" si="6"/>
        <v>0</v>
      </c>
      <c r="X9" s="74">
        <f t="shared" si="6"/>
        <v>0</v>
      </c>
      <c r="Y9" s="74">
        <f t="shared" si="6"/>
        <v>0</v>
      </c>
      <c r="Z9" s="74">
        <f t="shared" si="6"/>
        <v>0</v>
      </c>
      <c r="AA9" s="74">
        <f t="shared" si="6"/>
        <v>4266.7</v>
      </c>
      <c r="AB9" s="74">
        <f t="shared" si="6"/>
        <v>0</v>
      </c>
      <c r="AC9" s="74">
        <f t="shared" si="6"/>
        <v>0</v>
      </c>
      <c r="AD9" s="74">
        <f t="shared" si="6"/>
        <v>0</v>
      </c>
      <c r="AE9" s="74">
        <f t="shared" si="6"/>
        <v>0</v>
      </c>
      <c r="AF9" s="74">
        <f t="shared" si="6"/>
        <v>0</v>
      </c>
      <c r="AG9" s="74">
        <f t="shared" si="6"/>
        <v>0</v>
      </c>
      <c r="AH9" s="75"/>
    </row>
    <row r="10" spans="1:35" s="44" customFormat="1" ht="37.5" customHeight="1" x14ac:dyDescent="0.25">
      <c r="A10" s="570"/>
      <c r="B10" s="535"/>
      <c r="C10" s="73" t="s">
        <v>21</v>
      </c>
      <c r="D10" s="74">
        <f t="shared" si="2"/>
        <v>25484.6</v>
      </c>
      <c r="E10" s="74">
        <f>J10+L10+N10+P10+R10+T10</f>
        <v>10312.825999999999</v>
      </c>
      <c r="F10" s="74">
        <f t="shared" si="4"/>
        <v>18388.296419999999</v>
      </c>
      <c r="G10" s="74">
        <f>K10+M10+O10+Q10+S10+U10+W10+Y10+AA10+AC10+AE10+AG10</f>
        <v>18388.296419999999</v>
      </c>
      <c r="H10" s="74">
        <f>IFERROR(G10/D10*100,0)</f>
        <v>72.154542037151842</v>
      </c>
      <c r="I10" s="74">
        <f>IFERROR(G10/E10*100,0)</f>
        <v>178.30511656067893</v>
      </c>
      <c r="J10" s="74">
        <f>J14+J22</f>
        <v>2833.6880000000001</v>
      </c>
      <c r="K10" s="74">
        <f t="shared" ref="K10:AG10" si="7">K14+K22</f>
        <v>1404.721</v>
      </c>
      <c r="L10" s="74">
        <f t="shared" si="7"/>
        <v>1680.212</v>
      </c>
      <c r="M10" s="74">
        <f t="shared" si="7"/>
        <v>2087.2600000000002</v>
      </c>
      <c r="N10" s="74">
        <f t="shared" si="7"/>
        <v>1068.1030000000001</v>
      </c>
      <c r="O10" s="74">
        <f>O14+O22</f>
        <v>1354.241</v>
      </c>
      <c r="P10" s="74">
        <f t="shared" si="7"/>
        <v>2024.9739999999999</v>
      </c>
      <c r="Q10" s="74">
        <f t="shared" si="7"/>
        <v>1331.1</v>
      </c>
      <c r="R10" s="74">
        <f t="shared" si="7"/>
        <v>1527.9469999999999</v>
      </c>
      <c r="S10" s="74">
        <f t="shared" si="7"/>
        <v>1187.7760000000001</v>
      </c>
      <c r="T10" s="74">
        <f t="shared" si="7"/>
        <v>1177.902</v>
      </c>
      <c r="U10" s="74">
        <f t="shared" si="7"/>
        <v>1824.8240000000001</v>
      </c>
      <c r="V10" s="74">
        <f t="shared" si="7"/>
        <v>5453.7740000000003</v>
      </c>
      <c r="W10" s="74">
        <f t="shared" si="7"/>
        <v>2041.5350000000001</v>
      </c>
      <c r="X10" s="74">
        <f t="shared" si="7"/>
        <v>4127.9470000000001</v>
      </c>
      <c r="Y10" s="74">
        <f t="shared" si="7"/>
        <v>1540.961</v>
      </c>
      <c r="Z10" s="74">
        <f t="shared" si="7"/>
        <v>1127.702</v>
      </c>
      <c r="AA10" s="74">
        <f t="shared" si="7"/>
        <v>5615.87842</v>
      </c>
      <c r="AB10" s="74">
        <f t="shared" si="7"/>
        <v>1668.9380000000001</v>
      </c>
      <c r="AC10" s="74">
        <f t="shared" si="7"/>
        <v>0</v>
      </c>
      <c r="AD10" s="74">
        <f t="shared" si="7"/>
        <v>1420.425</v>
      </c>
      <c r="AE10" s="74">
        <f t="shared" si="7"/>
        <v>0</v>
      </c>
      <c r="AF10" s="74">
        <f t="shared" si="7"/>
        <v>1372.9880000000001</v>
      </c>
      <c r="AG10" s="74">
        <f t="shared" si="7"/>
        <v>0</v>
      </c>
      <c r="AH10" s="75"/>
    </row>
    <row r="11" spans="1:35" s="47" customFormat="1" ht="18.75" customHeight="1" x14ac:dyDescent="0.25">
      <c r="A11" s="107"/>
      <c r="B11" s="536" t="s">
        <v>102</v>
      </c>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8"/>
      <c r="AH11" s="64"/>
    </row>
    <row r="12" spans="1:35" s="50" customFormat="1" ht="25.5" customHeight="1" x14ac:dyDescent="0.25">
      <c r="A12" s="545" t="s">
        <v>103</v>
      </c>
      <c r="B12" s="527" t="s">
        <v>104</v>
      </c>
      <c r="C12" s="57" t="s">
        <v>20</v>
      </c>
      <c r="D12" s="58">
        <f>D14+D13</f>
        <v>10342.5</v>
      </c>
      <c r="E12" s="58">
        <f t="shared" ref="E12:G12" si="8">E14+E13</f>
        <v>10342.5</v>
      </c>
      <c r="F12" s="58">
        <f t="shared" si="8"/>
        <v>7181.3189999999995</v>
      </c>
      <c r="G12" s="58">
        <f t="shared" si="8"/>
        <v>7181.3189999999995</v>
      </c>
      <c r="H12" s="58">
        <f t="shared" ref="H12" si="9">IFERROR(G12/D12*100,0)</f>
        <v>69.435039883973886</v>
      </c>
      <c r="I12" s="58">
        <f>IFERROR(G12/E12*100,0)</f>
        <v>69.435039883973886</v>
      </c>
      <c r="J12" s="59">
        <f>J14+J13</f>
        <v>0</v>
      </c>
      <c r="K12" s="59">
        <f t="shared" ref="K12:AG12" si="10">K14+K13</f>
        <v>0</v>
      </c>
      <c r="L12" s="59">
        <f t="shared" si="10"/>
        <v>0</v>
      </c>
      <c r="M12" s="59">
        <f t="shared" si="10"/>
        <v>0</v>
      </c>
      <c r="N12" s="59">
        <f t="shared" si="10"/>
        <v>0</v>
      </c>
      <c r="O12" s="59">
        <f t="shared" si="10"/>
        <v>0</v>
      </c>
      <c r="P12" s="59">
        <f t="shared" si="10"/>
        <v>0</v>
      </c>
      <c r="Q12" s="59">
        <f t="shared" si="10"/>
        <v>0</v>
      </c>
      <c r="R12" s="59">
        <f t="shared" si="10"/>
        <v>0</v>
      </c>
      <c r="S12" s="59">
        <f t="shared" si="10"/>
        <v>0</v>
      </c>
      <c r="T12" s="59">
        <f t="shared" si="10"/>
        <v>0</v>
      </c>
      <c r="U12" s="59">
        <f t="shared" si="10"/>
        <v>0</v>
      </c>
      <c r="V12" s="59">
        <f t="shared" si="10"/>
        <v>7742.5</v>
      </c>
      <c r="W12" s="59">
        <f t="shared" si="10"/>
        <v>0</v>
      </c>
      <c r="X12" s="59">
        <f t="shared" si="10"/>
        <v>2600</v>
      </c>
      <c r="Y12" s="59">
        <f t="shared" si="10"/>
        <v>0</v>
      </c>
      <c r="Z12" s="59">
        <f t="shared" si="10"/>
        <v>0</v>
      </c>
      <c r="AA12" s="59">
        <f t="shared" si="10"/>
        <v>7181.3189999999995</v>
      </c>
      <c r="AB12" s="59">
        <f t="shared" si="10"/>
        <v>0</v>
      </c>
      <c r="AC12" s="59">
        <f t="shared" si="10"/>
        <v>0</v>
      </c>
      <c r="AD12" s="59">
        <f t="shared" si="10"/>
        <v>0</v>
      </c>
      <c r="AE12" s="59">
        <f t="shared" si="10"/>
        <v>0</v>
      </c>
      <c r="AF12" s="59">
        <f t="shared" si="10"/>
        <v>0</v>
      </c>
      <c r="AG12" s="59">
        <f t="shared" si="10"/>
        <v>0</v>
      </c>
      <c r="AH12" s="60"/>
      <c r="AI12" s="49"/>
    </row>
    <row r="13" spans="1:35" s="44" customFormat="1" ht="51.75" customHeight="1" x14ac:dyDescent="0.25">
      <c r="A13" s="546"/>
      <c r="B13" s="528"/>
      <c r="C13" s="73" t="s">
        <v>22</v>
      </c>
      <c r="D13" s="74">
        <f>SUM(J13,L13,N13,P13,R13,T13,V13,X13,Z13,AB13,AD13,AF13)</f>
        <v>4313.7</v>
      </c>
      <c r="E13" s="74">
        <f>J13+L13+N13+P13+R13+T13+V13+X13+Z13</f>
        <v>4313.7</v>
      </c>
      <c r="F13" s="74">
        <f>G13</f>
        <v>4266.7</v>
      </c>
      <c r="G13" s="74">
        <f>SUM(K13,M13,O13,Q13,S13,U13,W13,Y13,AA13,AC13,AE13,AG13)</f>
        <v>4266.7</v>
      </c>
      <c r="H13" s="74">
        <f>IFERROR(G13/D13*100,0)</f>
        <v>98.910448107193361</v>
      </c>
      <c r="I13" s="74">
        <f>IFERROR(G13/E13*100,0)</f>
        <v>98.910448107193361</v>
      </c>
      <c r="J13" s="67">
        <f>J16+J19</f>
        <v>0</v>
      </c>
      <c r="K13" s="67">
        <f t="shared" ref="K13:AG13" si="11">K16+K19</f>
        <v>0</v>
      </c>
      <c r="L13" s="67">
        <f t="shared" si="11"/>
        <v>0</v>
      </c>
      <c r="M13" s="67">
        <f t="shared" si="11"/>
        <v>0</v>
      </c>
      <c r="N13" s="67">
        <f t="shared" si="11"/>
        <v>0</v>
      </c>
      <c r="O13" s="67">
        <f t="shared" si="11"/>
        <v>0</v>
      </c>
      <c r="P13" s="67">
        <f t="shared" si="11"/>
        <v>0</v>
      </c>
      <c r="Q13" s="67">
        <f t="shared" si="11"/>
        <v>0</v>
      </c>
      <c r="R13" s="67">
        <f t="shared" si="11"/>
        <v>0</v>
      </c>
      <c r="S13" s="67">
        <f t="shared" si="11"/>
        <v>0</v>
      </c>
      <c r="T13" s="67">
        <f t="shared" si="11"/>
        <v>0</v>
      </c>
      <c r="U13" s="67">
        <f t="shared" si="11"/>
        <v>0</v>
      </c>
      <c r="V13" s="67">
        <f t="shared" si="11"/>
        <v>4313.7</v>
      </c>
      <c r="W13" s="67">
        <f t="shared" si="11"/>
        <v>0</v>
      </c>
      <c r="X13" s="67">
        <f t="shared" si="11"/>
        <v>0</v>
      </c>
      <c r="Y13" s="67">
        <f t="shared" si="11"/>
        <v>0</v>
      </c>
      <c r="Z13" s="67">
        <f t="shared" si="11"/>
        <v>0</v>
      </c>
      <c r="AA13" s="67">
        <f t="shared" si="11"/>
        <v>4266.7</v>
      </c>
      <c r="AB13" s="67">
        <f t="shared" si="11"/>
        <v>0</v>
      </c>
      <c r="AC13" s="67">
        <f t="shared" si="11"/>
        <v>0</v>
      </c>
      <c r="AD13" s="67">
        <f t="shared" si="11"/>
        <v>0</v>
      </c>
      <c r="AE13" s="67">
        <f t="shared" si="11"/>
        <v>0</v>
      </c>
      <c r="AF13" s="67">
        <f t="shared" si="11"/>
        <v>0</v>
      </c>
      <c r="AG13" s="67">
        <f t="shared" si="11"/>
        <v>0</v>
      </c>
      <c r="AH13" s="72"/>
      <c r="AI13" s="51"/>
    </row>
    <row r="14" spans="1:35" s="44" customFormat="1" ht="32.25" customHeight="1" x14ac:dyDescent="0.25">
      <c r="A14" s="540"/>
      <c r="B14" s="528"/>
      <c r="C14" s="73" t="s">
        <v>21</v>
      </c>
      <c r="D14" s="74">
        <f>SUM(J14,L14,N14,P14,R14,T14,V14,X14,Z14,AB14,AD14,AF14)</f>
        <v>6028.8</v>
      </c>
      <c r="E14" s="74">
        <f>J14+L14+N14+P14+R14+T14+V14+X14+Z14</f>
        <v>6028.8</v>
      </c>
      <c r="F14" s="74">
        <f>G14</f>
        <v>2914.6190000000001</v>
      </c>
      <c r="G14" s="74">
        <f>SUM(K14,M14,O14,Q14,S14,U14,W14,Y14,AA14,AC14,AE14,AG14)</f>
        <v>2914.6190000000001</v>
      </c>
      <c r="H14" s="74">
        <f>IFERROR(G14/D14*100,0)</f>
        <v>48.344927680467094</v>
      </c>
      <c r="I14" s="74">
        <f>IFERROR(G14/E14*100,0)</f>
        <v>48.344927680467094</v>
      </c>
      <c r="J14" s="67">
        <f>J17+J20</f>
        <v>0</v>
      </c>
      <c r="K14" s="67">
        <f t="shared" ref="K14:AG14" si="12">K17+K20</f>
        <v>0</v>
      </c>
      <c r="L14" s="67">
        <f t="shared" si="12"/>
        <v>0</v>
      </c>
      <c r="M14" s="67">
        <f t="shared" si="12"/>
        <v>0</v>
      </c>
      <c r="N14" s="67">
        <f t="shared" si="12"/>
        <v>0</v>
      </c>
      <c r="O14" s="67">
        <f t="shared" si="12"/>
        <v>0</v>
      </c>
      <c r="P14" s="67">
        <f t="shared" si="12"/>
        <v>0</v>
      </c>
      <c r="Q14" s="67">
        <f t="shared" si="12"/>
        <v>0</v>
      </c>
      <c r="R14" s="67">
        <f t="shared" si="12"/>
        <v>0</v>
      </c>
      <c r="S14" s="67">
        <f t="shared" si="12"/>
        <v>0</v>
      </c>
      <c r="T14" s="67">
        <f t="shared" si="12"/>
        <v>0</v>
      </c>
      <c r="U14" s="67">
        <f t="shared" si="12"/>
        <v>0</v>
      </c>
      <c r="V14" s="67">
        <f t="shared" si="12"/>
        <v>3428.8</v>
      </c>
      <c r="W14" s="67">
        <f t="shared" si="12"/>
        <v>0</v>
      </c>
      <c r="X14" s="67">
        <f t="shared" si="12"/>
        <v>2600</v>
      </c>
      <c r="Y14" s="67">
        <f t="shared" si="12"/>
        <v>0</v>
      </c>
      <c r="Z14" s="67">
        <f t="shared" si="12"/>
        <v>0</v>
      </c>
      <c r="AA14" s="67">
        <f t="shared" si="12"/>
        <v>2914.6190000000001</v>
      </c>
      <c r="AB14" s="67">
        <f t="shared" si="12"/>
        <v>0</v>
      </c>
      <c r="AC14" s="67">
        <f t="shared" si="12"/>
        <v>0</v>
      </c>
      <c r="AD14" s="67">
        <f t="shared" si="12"/>
        <v>0</v>
      </c>
      <c r="AE14" s="67">
        <f t="shared" si="12"/>
        <v>0</v>
      </c>
      <c r="AF14" s="67">
        <f t="shared" si="12"/>
        <v>0</v>
      </c>
      <c r="AG14" s="67">
        <f t="shared" si="12"/>
        <v>0</v>
      </c>
      <c r="AH14" s="72"/>
      <c r="AI14" s="51"/>
    </row>
    <row r="15" spans="1:35" s="50" customFormat="1" ht="27" customHeight="1" x14ac:dyDescent="0.25">
      <c r="A15" s="545"/>
      <c r="B15" s="550" t="s">
        <v>105</v>
      </c>
      <c r="C15" s="57" t="s">
        <v>20</v>
      </c>
      <c r="D15" s="58">
        <f>D17+D16</f>
        <v>7742.5</v>
      </c>
      <c r="E15" s="58">
        <f t="shared" ref="E15:G15" si="13">E17+E16</f>
        <v>7742.5</v>
      </c>
      <c r="F15" s="58">
        <f t="shared" si="13"/>
        <v>7181.3189999999995</v>
      </c>
      <c r="G15" s="58">
        <f t="shared" si="13"/>
        <v>7181.3189999999995</v>
      </c>
      <c r="H15" s="58">
        <f t="shared" ref="H15" si="14">IFERROR(G15/D15*100,0)</f>
        <v>92.751940587665473</v>
      </c>
      <c r="I15" s="58">
        <f t="shared" ref="I15" si="15">IFERROR(G15/E15*100,0)</f>
        <v>92.751940587665473</v>
      </c>
      <c r="J15" s="59">
        <f>J17+J16</f>
        <v>0</v>
      </c>
      <c r="K15" s="59">
        <f t="shared" ref="K15:AG15" si="16">K17+K16</f>
        <v>0</v>
      </c>
      <c r="L15" s="59">
        <f t="shared" si="16"/>
        <v>0</v>
      </c>
      <c r="M15" s="59">
        <f t="shared" si="16"/>
        <v>0</v>
      </c>
      <c r="N15" s="59">
        <f t="shared" si="16"/>
        <v>0</v>
      </c>
      <c r="O15" s="59">
        <f t="shared" si="16"/>
        <v>0</v>
      </c>
      <c r="P15" s="59">
        <f t="shared" si="16"/>
        <v>0</v>
      </c>
      <c r="Q15" s="59">
        <f t="shared" si="16"/>
        <v>0</v>
      </c>
      <c r="R15" s="59">
        <f t="shared" si="16"/>
        <v>0</v>
      </c>
      <c r="S15" s="59">
        <f t="shared" si="16"/>
        <v>0</v>
      </c>
      <c r="T15" s="59">
        <f t="shared" si="16"/>
        <v>0</v>
      </c>
      <c r="U15" s="59">
        <f t="shared" si="16"/>
        <v>0</v>
      </c>
      <c r="V15" s="59">
        <f t="shared" si="16"/>
        <v>7742.5</v>
      </c>
      <c r="W15" s="59">
        <f t="shared" si="16"/>
        <v>0</v>
      </c>
      <c r="X15" s="59">
        <f t="shared" si="16"/>
        <v>0</v>
      </c>
      <c r="Y15" s="59">
        <f t="shared" si="16"/>
        <v>0</v>
      </c>
      <c r="Z15" s="59">
        <f t="shared" si="16"/>
        <v>0</v>
      </c>
      <c r="AA15" s="59">
        <f t="shared" si="16"/>
        <v>7181.3189999999995</v>
      </c>
      <c r="AB15" s="59">
        <f t="shared" si="16"/>
        <v>0</v>
      </c>
      <c r="AC15" s="59">
        <f t="shared" si="16"/>
        <v>0</v>
      </c>
      <c r="AD15" s="59">
        <f t="shared" si="16"/>
        <v>0</v>
      </c>
      <c r="AE15" s="59">
        <f t="shared" si="16"/>
        <v>0</v>
      </c>
      <c r="AF15" s="59">
        <f t="shared" si="16"/>
        <v>0</v>
      </c>
      <c r="AG15" s="59">
        <f t="shared" si="16"/>
        <v>0</v>
      </c>
      <c r="AH15" s="60"/>
      <c r="AI15" s="49"/>
    </row>
    <row r="16" spans="1:35" s="50" customFormat="1" ht="54" customHeight="1" x14ac:dyDescent="0.25">
      <c r="A16" s="546"/>
      <c r="B16" s="551"/>
      <c r="C16" s="61" t="s">
        <v>22</v>
      </c>
      <c r="D16" s="62">
        <f>SUM(J16,L16,N16,P16,R16,T16,V16,X16,Z16,AB16,AD16,AF16)</f>
        <v>4313.7</v>
      </c>
      <c r="E16" s="74">
        <f>J16+L16+N16+P16+R16+T16+V16+X16+Z16</f>
        <v>4313.7</v>
      </c>
      <c r="F16" s="62">
        <f>G16</f>
        <v>4266.7</v>
      </c>
      <c r="G16" s="62">
        <f>SUM(K16,M16,O16,Q16,S16,U16,W16,Y16,AA16,AC16,AE16,AG16)</f>
        <v>4266.7</v>
      </c>
      <c r="H16" s="62">
        <f>IFERROR(G16/D16*100,0)</f>
        <v>98.910448107193361</v>
      </c>
      <c r="I16" s="62">
        <f>IFERROR(G16/E16*100,0)</f>
        <v>98.910448107193361</v>
      </c>
      <c r="J16" s="63">
        <v>0</v>
      </c>
      <c r="K16" s="63">
        <v>0</v>
      </c>
      <c r="L16" s="63">
        <v>0</v>
      </c>
      <c r="M16" s="63">
        <v>0</v>
      </c>
      <c r="N16" s="63">
        <v>0</v>
      </c>
      <c r="O16" s="63">
        <v>0</v>
      </c>
      <c r="P16" s="63">
        <v>0</v>
      </c>
      <c r="Q16" s="63">
        <v>0</v>
      </c>
      <c r="R16" s="63">
        <v>0</v>
      </c>
      <c r="S16" s="63">
        <v>0</v>
      </c>
      <c r="T16" s="63">
        <v>0</v>
      </c>
      <c r="U16" s="63">
        <v>0</v>
      </c>
      <c r="V16" s="63">
        <v>4313.7</v>
      </c>
      <c r="W16" s="63">
        <v>0</v>
      </c>
      <c r="X16" s="63">
        <v>0</v>
      </c>
      <c r="Y16" s="63">
        <v>0</v>
      </c>
      <c r="Z16" s="63">
        <v>0</v>
      </c>
      <c r="AA16" s="63">
        <v>4266.7</v>
      </c>
      <c r="AB16" s="63">
        <v>0</v>
      </c>
      <c r="AC16" s="63">
        <v>0</v>
      </c>
      <c r="AD16" s="63">
        <v>0</v>
      </c>
      <c r="AE16" s="63">
        <v>0</v>
      </c>
      <c r="AF16" s="63">
        <v>0</v>
      </c>
      <c r="AG16" s="63">
        <v>0</v>
      </c>
      <c r="AH16" s="60"/>
      <c r="AI16" s="49"/>
    </row>
    <row r="17" spans="1:35" s="50" customFormat="1" ht="42" customHeight="1" x14ac:dyDescent="0.25">
      <c r="A17" s="540"/>
      <c r="B17" s="551"/>
      <c r="C17" s="61" t="s">
        <v>21</v>
      </c>
      <c r="D17" s="62">
        <f>SUM(J17,L17,N17,P17,R17,T17,V17,X17,Z17,AB17,AD17,AF17)</f>
        <v>3428.8</v>
      </c>
      <c r="E17" s="74">
        <f>J17+L17+N17+P17+R17+T17+V17+X17+Z17</f>
        <v>3428.8</v>
      </c>
      <c r="F17" s="62">
        <f>G17</f>
        <v>2914.6190000000001</v>
      </c>
      <c r="G17" s="62">
        <f>SUM(K17,M17,O17,Q17,S17,U17,W17,Y17,AA17,AC17,AE17,AG17)</f>
        <v>2914.6190000000001</v>
      </c>
      <c r="H17" s="62">
        <f>IFERROR(G17/D17*100,0)</f>
        <v>85.004053896406901</v>
      </c>
      <c r="I17" s="62">
        <f>IFERROR(G17/E17*100,0)</f>
        <v>85.004053896406901</v>
      </c>
      <c r="J17" s="63">
        <v>0</v>
      </c>
      <c r="K17" s="63">
        <v>0</v>
      </c>
      <c r="L17" s="63">
        <v>0</v>
      </c>
      <c r="M17" s="63">
        <v>0</v>
      </c>
      <c r="N17" s="63">
        <v>0</v>
      </c>
      <c r="O17" s="63">
        <v>0</v>
      </c>
      <c r="P17" s="63">
        <v>0</v>
      </c>
      <c r="Q17" s="63">
        <v>0</v>
      </c>
      <c r="R17" s="63">
        <v>0</v>
      </c>
      <c r="S17" s="63">
        <v>0</v>
      </c>
      <c r="T17" s="63">
        <v>0</v>
      </c>
      <c r="U17" s="63">
        <v>0</v>
      </c>
      <c r="V17" s="63">
        <v>3428.8</v>
      </c>
      <c r="W17" s="63">
        <v>0</v>
      </c>
      <c r="X17" s="63">
        <v>0</v>
      </c>
      <c r="Y17" s="63">
        <v>0</v>
      </c>
      <c r="Z17" s="63">
        <v>0</v>
      </c>
      <c r="AA17" s="63">
        <v>2914.6190000000001</v>
      </c>
      <c r="AB17" s="63">
        <v>0</v>
      </c>
      <c r="AC17" s="63">
        <v>0</v>
      </c>
      <c r="AD17" s="63">
        <v>0</v>
      </c>
      <c r="AE17" s="63">
        <v>0</v>
      </c>
      <c r="AF17" s="63">
        <v>0</v>
      </c>
      <c r="AG17" s="63">
        <v>0</v>
      </c>
      <c r="AH17" s="60"/>
      <c r="AI17" s="49"/>
    </row>
    <row r="18" spans="1:35" s="50" customFormat="1" ht="42.75" customHeight="1" x14ac:dyDescent="0.25">
      <c r="A18" s="540"/>
      <c r="B18" s="550" t="s">
        <v>106</v>
      </c>
      <c r="C18" s="57" t="s">
        <v>20</v>
      </c>
      <c r="D18" s="58">
        <f>D20+D19</f>
        <v>2600</v>
      </c>
      <c r="E18" s="58">
        <f>E20+E19</f>
        <v>2600</v>
      </c>
      <c r="F18" s="58">
        <f t="shared" ref="F18:G18" si="17">F20+F19</f>
        <v>0</v>
      </c>
      <c r="G18" s="58">
        <f t="shared" si="17"/>
        <v>0</v>
      </c>
      <c r="H18" s="58">
        <f t="shared" ref="H18" si="18">IFERROR(G18/D18*100,0)</f>
        <v>0</v>
      </c>
      <c r="I18" s="58">
        <f t="shared" ref="I18" si="19">IFERROR(G18/E18*100,0)</f>
        <v>0</v>
      </c>
      <c r="J18" s="59">
        <f>J20+J19</f>
        <v>0</v>
      </c>
      <c r="K18" s="59">
        <f t="shared" ref="K18:AG18" si="20">K20+K19</f>
        <v>0</v>
      </c>
      <c r="L18" s="59">
        <f t="shared" si="20"/>
        <v>0</v>
      </c>
      <c r="M18" s="59">
        <f t="shared" si="20"/>
        <v>0</v>
      </c>
      <c r="N18" s="59">
        <f t="shared" si="20"/>
        <v>0</v>
      </c>
      <c r="O18" s="59">
        <f t="shared" si="20"/>
        <v>0</v>
      </c>
      <c r="P18" s="59">
        <f t="shared" si="20"/>
        <v>0</v>
      </c>
      <c r="Q18" s="59">
        <f t="shared" si="20"/>
        <v>0</v>
      </c>
      <c r="R18" s="59">
        <f t="shared" si="20"/>
        <v>0</v>
      </c>
      <c r="S18" s="59">
        <f t="shared" si="20"/>
        <v>0</v>
      </c>
      <c r="T18" s="59">
        <f t="shared" si="20"/>
        <v>0</v>
      </c>
      <c r="U18" s="59">
        <f t="shared" si="20"/>
        <v>0</v>
      </c>
      <c r="V18" s="59">
        <f t="shared" si="20"/>
        <v>0</v>
      </c>
      <c r="W18" s="59">
        <f t="shared" si="20"/>
        <v>0</v>
      </c>
      <c r="X18" s="59">
        <f t="shared" si="20"/>
        <v>2600</v>
      </c>
      <c r="Y18" s="59">
        <f t="shared" si="20"/>
        <v>0</v>
      </c>
      <c r="Z18" s="59">
        <f t="shared" si="20"/>
        <v>0</v>
      </c>
      <c r="AA18" s="59">
        <f t="shared" si="20"/>
        <v>0</v>
      </c>
      <c r="AB18" s="59">
        <f t="shared" si="20"/>
        <v>0</v>
      </c>
      <c r="AC18" s="59">
        <f t="shared" si="20"/>
        <v>0</v>
      </c>
      <c r="AD18" s="59">
        <f t="shared" si="20"/>
        <v>0</v>
      </c>
      <c r="AE18" s="59">
        <f t="shared" si="20"/>
        <v>0</v>
      </c>
      <c r="AF18" s="59">
        <f t="shared" si="20"/>
        <v>0</v>
      </c>
      <c r="AG18" s="59">
        <f t="shared" si="20"/>
        <v>0</v>
      </c>
      <c r="AH18" s="60"/>
      <c r="AI18" s="49"/>
    </row>
    <row r="19" spans="1:35" s="50" customFormat="1" ht="58.5" hidden="1" customHeight="1" x14ac:dyDescent="0.25">
      <c r="A19" s="540"/>
      <c r="B19" s="551"/>
      <c r="C19" s="61" t="s">
        <v>22</v>
      </c>
      <c r="D19" s="62">
        <f>SUM(J19,L19,N19,P19,R19,T19,V19,X19,Z19,AB19,AD19,AF19)</f>
        <v>0</v>
      </c>
      <c r="E19" s="62">
        <f>J19</f>
        <v>0</v>
      </c>
      <c r="F19" s="62">
        <f>G19</f>
        <v>0</v>
      </c>
      <c r="G19" s="62">
        <f>SUM(K19,M19,O19,Q19,S19,U19,W19,Y19,AA19,AC19,AE19,AG19)</f>
        <v>0</v>
      </c>
      <c r="H19" s="62">
        <f>IFERROR(G19/D19*100,0)</f>
        <v>0</v>
      </c>
      <c r="I19" s="62">
        <f>IFERROR(G19/E19*100,0)</f>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0"/>
      <c r="AI19" s="49"/>
    </row>
    <row r="20" spans="1:35" s="50" customFormat="1" ht="84" customHeight="1" x14ac:dyDescent="0.25">
      <c r="A20" s="541"/>
      <c r="B20" s="551"/>
      <c r="C20" s="61" t="s">
        <v>21</v>
      </c>
      <c r="D20" s="62">
        <f>SUM(J20,L20,N20,P20,R20,T20,V20,X20,Z20,AB20,AD20,AF20)</f>
        <v>2600</v>
      </c>
      <c r="E20" s="74">
        <f>J20+L20+N20+P20+R20+T20+V20+X20+Z20</f>
        <v>2600</v>
      </c>
      <c r="F20" s="74">
        <f>G20</f>
        <v>0</v>
      </c>
      <c r="G20" s="62">
        <f>SUM(K20,M20,O20,Q20,S20,U20,W20,Y20,AA20,AC20,AE20,AG20)</f>
        <v>0</v>
      </c>
      <c r="H20" s="62">
        <f>IFERROR(G20/D20*100,0)</f>
        <v>0</v>
      </c>
      <c r="I20" s="62">
        <f>IFERROR(G20/E20*100,0)</f>
        <v>0</v>
      </c>
      <c r="J20" s="63">
        <v>0</v>
      </c>
      <c r="K20" s="63">
        <v>0</v>
      </c>
      <c r="L20" s="63">
        <v>0</v>
      </c>
      <c r="M20" s="63">
        <v>0</v>
      </c>
      <c r="N20" s="63">
        <v>0</v>
      </c>
      <c r="O20" s="63">
        <v>0</v>
      </c>
      <c r="P20" s="63">
        <v>0</v>
      </c>
      <c r="Q20" s="63">
        <v>0</v>
      </c>
      <c r="R20" s="63">
        <v>0</v>
      </c>
      <c r="S20" s="63">
        <v>0</v>
      </c>
      <c r="T20" s="63">
        <v>0</v>
      </c>
      <c r="U20" s="63">
        <v>0</v>
      </c>
      <c r="V20" s="63">
        <v>0</v>
      </c>
      <c r="W20" s="63">
        <v>0</v>
      </c>
      <c r="X20" s="63">
        <v>2600</v>
      </c>
      <c r="Y20" s="63">
        <v>0</v>
      </c>
      <c r="Z20" s="63">
        <v>0</v>
      </c>
      <c r="AA20" s="63">
        <v>0</v>
      </c>
      <c r="AB20" s="63">
        <v>0</v>
      </c>
      <c r="AC20" s="63">
        <v>0</v>
      </c>
      <c r="AD20" s="63">
        <v>0</v>
      </c>
      <c r="AE20" s="63">
        <v>0</v>
      </c>
      <c r="AF20" s="63">
        <v>0</v>
      </c>
      <c r="AG20" s="63">
        <v>0</v>
      </c>
      <c r="AH20" s="60"/>
      <c r="AI20" s="49"/>
    </row>
    <row r="21" spans="1:35" s="42" customFormat="1" ht="27" customHeight="1" x14ac:dyDescent="0.25">
      <c r="A21" s="569" t="s">
        <v>37</v>
      </c>
      <c r="B21" s="533" t="s">
        <v>107</v>
      </c>
      <c r="C21" s="69" t="s">
        <v>20</v>
      </c>
      <c r="D21" s="70">
        <f>D22</f>
        <v>19455.8</v>
      </c>
      <c r="E21" s="70">
        <f t="shared" ref="E21:G21" si="21">E22</f>
        <v>14993.448999999999</v>
      </c>
      <c r="F21" s="70">
        <f t="shared" si="21"/>
        <v>15473.67742</v>
      </c>
      <c r="G21" s="70">
        <f t="shared" si="21"/>
        <v>15473.67742</v>
      </c>
      <c r="H21" s="70">
        <f t="shared" ref="H21" si="22">IFERROR(G21/D21*100,0)</f>
        <v>79.532465485870546</v>
      </c>
      <c r="I21" s="70">
        <f t="shared" ref="I21:I22" si="23">IFERROR(G21/E21*100,0)</f>
        <v>103.20292162263667</v>
      </c>
      <c r="J21" s="71">
        <f t="shared" ref="J21:AG21" si="24">SUM(J22:J22)</f>
        <v>2833.6880000000001</v>
      </c>
      <c r="K21" s="71">
        <f t="shared" si="24"/>
        <v>1404.721</v>
      </c>
      <c r="L21" s="71">
        <f t="shared" si="24"/>
        <v>1680.212</v>
      </c>
      <c r="M21" s="71">
        <f t="shared" si="24"/>
        <v>2087.2600000000002</v>
      </c>
      <c r="N21" s="71">
        <f t="shared" si="24"/>
        <v>1068.1030000000001</v>
      </c>
      <c r="O21" s="71">
        <f t="shared" si="24"/>
        <v>1354.241</v>
      </c>
      <c r="P21" s="71">
        <f t="shared" si="24"/>
        <v>2024.9739999999999</v>
      </c>
      <c r="Q21" s="71">
        <f t="shared" si="24"/>
        <v>1331.1</v>
      </c>
      <c r="R21" s="71">
        <f t="shared" si="24"/>
        <v>1527.9469999999999</v>
      </c>
      <c r="S21" s="71">
        <f t="shared" si="24"/>
        <v>1187.7760000000001</v>
      </c>
      <c r="T21" s="71">
        <f t="shared" si="24"/>
        <v>1177.902</v>
      </c>
      <c r="U21" s="71">
        <f t="shared" si="24"/>
        <v>1824.8240000000001</v>
      </c>
      <c r="V21" s="71">
        <f t="shared" si="24"/>
        <v>2024.9739999999999</v>
      </c>
      <c r="W21" s="71">
        <f t="shared" si="24"/>
        <v>2041.5350000000001</v>
      </c>
      <c r="X21" s="71">
        <f t="shared" si="24"/>
        <v>1527.9469999999999</v>
      </c>
      <c r="Y21" s="71">
        <f t="shared" si="24"/>
        <v>1540.961</v>
      </c>
      <c r="Z21" s="71">
        <f t="shared" si="24"/>
        <v>1127.702</v>
      </c>
      <c r="AA21" s="71">
        <f t="shared" si="24"/>
        <v>2701.2594199999999</v>
      </c>
      <c r="AB21" s="71">
        <f t="shared" si="24"/>
        <v>1668.9380000000001</v>
      </c>
      <c r="AC21" s="71">
        <f t="shared" si="24"/>
        <v>0</v>
      </c>
      <c r="AD21" s="71">
        <f t="shared" si="24"/>
        <v>1420.425</v>
      </c>
      <c r="AE21" s="71">
        <f t="shared" si="24"/>
        <v>0</v>
      </c>
      <c r="AF21" s="71">
        <f t="shared" si="24"/>
        <v>1372.9880000000001</v>
      </c>
      <c r="AG21" s="71">
        <f t="shared" si="24"/>
        <v>0</v>
      </c>
      <c r="AH21" s="72"/>
      <c r="AI21" s="51"/>
    </row>
    <row r="22" spans="1:35" s="44" customFormat="1" ht="111.75" customHeight="1" x14ac:dyDescent="0.25">
      <c r="A22" s="570"/>
      <c r="B22" s="535"/>
      <c r="C22" s="73" t="s">
        <v>21</v>
      </c>
      <c r="D22" s="74">
        <f>SUM(J22,L22,N22,P22,R22,T22,V22,X22,Z22,AB22,AD22,AF22)</f>
        <v>19455.8</v>
      </c>
      <c r="E22" s="74">
        <f>J22+L22+N22+P22+R22+T22+V22+X22+Z22</f>
        <v>14993.448999999999</v>
      </c>
      <c r="F22" s="74">
        <f>G22</f>
        <v>15473.67742</v>
      </c>
      <c r="G22" s="74">
        <f>SUM(K22,M22,O22,Q22,S22,U22,W22,Y22,AA22,AC22,AE22,AG22)</f>
        <v>15473.67742</v>
      </c>
      <c r="H22" s="74">
        <f>IFERROR(G22/D22*100,0)</f>
        <v>79.532465485870546</v>
      </c>
      <c r="I22" s="74">
        <f t="shared" si="23"/>
        <v>103.20292162263667</v>
      </c>
      <c r="J22" s="67">
        <v>2833.6880000000001</v>
      </c>
      <c r="K22" s="67">
        <v>1404.721</v>
      </c>
      <c r="L22" s="67">
        <v>1680.212</v>
      </c>
      <c r="M22" s="67">
        <v>2087.2600000000002</v>
      </c>
      <c r="N22" s="67">
        <v>1068.1030000000001</v>
      </c>
      <c r="O22" s="67">
        <v>1354.241</v>
      </c>
      <c r="P22" s="67">
        <v>2024.9739999999999</v>
      </c>
      <c r="Q22" s="67">
        <v>1331.1</v>
      </c>
      <c r="R22" s="67">
        <v>1527.9469999999999</v>
      </c>
      <c r="S22" s="67">
        <v>1187.7760000000001</v>
      </c>
      <c r="T22" s="67">
        <v>1177.902</v>
      </c>
      <c r="U22" s="67">
        <v>1824.8240000000001</v>
      </c>
      <c r="V22" s="67">
        <v>2024.9739999999999</v>
      </c>
      <c r="W22" s="67">
        <v>2041.5350000000001</v>
      </c>
      <c r="X22" s="67">
        <v>1527.9469999999999</v>
      </c>
      <c r="Y22" s="67">
        <v>1540.961</v>
      </c>
      <c r="Z22" s="67">
        <v>1127.702</v>
      </c>
      <c r="AA22" s="67">
        <v>2701.2594199999999</v>
      </c>
      <c r="AB22" s="67">
        <v>1668.9380000000001</v>
      </c>
      <c r="AC22" s="67">
        <v>0</v>
      </c>
      <c r="AD22" s="67">
        <v>1420.425</v>
      </c>
      <c r="AE22" s="67">
        <v>0</v>
      </c>
      <c r="AF22" s="67">
        <v>1372.9880000000001</v>
      </c>
      <c r="AG22" s="67">
        <v>0</v>
      </c>
      <c r="AH22" s="75"/>
      <c r="AI22" s="51"/>
    </row>
  </sheetData>
  <customSheetViews>
    <customSheetView guid="{133BB3F8-8DD4-4AEF-8CD6-A5FB14681329}" scale="90" hiddenRows="1" state="hidden">
      <pane xSplit="6" ySplit="7" topLeftCell="G8" activePane="bottomRight" state="frozen"/>
      <selection pane="bottomRight" activeCell="C14" sqref="C14"/>
      <pageMargins left="0.7" right="0.7" top="0.75" bottom="0.75" header="0.3" footer="0.3"/>
      <pageSetup paperSize="9" orientation="portrait" r:id="rId1"/>
    </customSheetView>
    <customSheetView guid="{7C5A2A36-3D69-43D9-9018-A52C27EC78F9}" scale="90" hiddenRows="1">
      <pane xSplit="6" ySplit="7" topLeftCell="G8" activePane="bottomRight" state="frozen"/>
      <selection pane="bottomRight" activeCell="K23" sqref="K23"/>
      <pageMargins left="0.7" right="0.7" top="0.75" bottom="0.75" header="0.3" footer="0.3"/>
      <pageSetup paperSize="9" orientation="portrait" r:id="rId2"/>
    </customSheetView>
    <customSheetView guid="{2A5A11D4-90C6-4A3E-8165-7D7BD634B22F}" scale="90" hiddenRows="1">
      <pane xSplit="6" ySplit="7" topLeftCell="G8" activePane="bottomRight" state="frozen"/>
      <selection pane="bottomRight" activeCell="K16" sqref="K16"/>
      <pageMargins left="0.7" right="0.7" top="0.75" bottom="0.75" header="0.3" footer="0.3"/>
      <pageSetup paperSize="9" orientation="portrait" r:id="rId3"/>
    </customSheetView>
    <customSheetView guid="{996EC2F0-F6EC-4E63-A83E-34865157BD8D}" scale="90" hiddenRows="1">
      <pane xSplit="6" ySplit="7" topLeftCell="G8" activePane="bottomRight" state="frozen"/>
      <selection pane="bottomRight" activeCell="K16" sqref="K16"/>
      <pageMargins left="0.7" right="0.7" top="0.75" bottom="0.75" header="0.3" footer="0.3"/>
      <pageSetup paperSize="9" orientation="portrait" r:id="rId4"/>
    </customSheetView>
    <customSheetView guid="{AB9978E4-895D-4050-8F07-2484E22632D1}" scale="90" hiddenRows="1">
      <pane xSplit="6" ySplit="7" topLeftCell="G8" activePane="bottomRight" state="frozen"/>
      <selection pane="bottomRight" activeCell="K16" sqref="K16"/>
      <pageMargins left="0.7" right="0.7" top="0.75" bottom="0.75" header="0.3" footer="0.3"/>
      <pageSetup paperSize="9" orientation="portrait" r:id="rId5"/>
    </customSheetView>
    <customSheetView guid="{21E1D423-7B38-4272-8354-09B4DB62C9EB}" scale="90" hiddenRows="1">
      <pane xSplit="6" ySplit="7" topLeftCell="G8" activePane="bottomRight" state="frozen"/>
      <selection pane="bottomRight" activeCell="K16" sqref="K16"/>
      <pageMargins left="0.7" right="0.7" top="0.75" bottom="0.75" header="0.3" footer="0.3"/>
      <pageSetup paperSize="9" orientation="portrait" r:id="rId6"/>
    </customSheetView>
    <customSheetView guid="{2940A182-D1A7-43C5-8D6E-965BED4371B0}" scale="90" hiddenRows="1">
      <pane xSplit="6" ySplit="7" topLeftCell="G8" activePane="bottomRight" state="frozen"/>
      <selection pane="bottomRight" activeCell="K23" sqref="K23"/>
      <pageMargins left="0.7" right="0.7" top="0.75" bottom="0.75" header="0.3" footer="0.3"/>
      <pageSetup paperSize="9" orientation="portrait" r:id="rId7"/>
    </customSheetView>
    <customSheetView guid="{A0E2FBF6-E560-4343-8BE6-217DC798135B}" scale="90" hiddenRows="1">
      <pane xSplit="6" ySplit="7" topLeftCell="G8" activePane="bottomRight" state="frozen"/>
      <selection pane="bottomRight" activeCell="K16" sqref="K16"/>
      <pageMargins left="0.7" right="0.7" top="0.75" bottom="0.75" header="0.3" footer="0.3"/>
      <pageSetup paperSize="9" orientation="portrait" r:id="rId8"/>
    </customSheetView>
    <customSheetView guid="{BBF6B43F-E0FC-43DF-B91C-674F6AB4B556}" scale="90" hiddenRows="1">
      <pane xSplit="6" ySplit="7" topLeftCell="G8" activePane="bottomRight" state="frozen"/>
      <selection pane="bottomRight" activeCell="K16" sqref="K16"/>
      <pageMargins left="0.7" right="0.7" top="0.75" bottom="0.75" header="0.3" footer="0.3"/>
      <pageSetup paperSize="9" orientation="portrait" r:id="rId9"/>
    </customSheetView>
    <customSheetView guid="{C68436F4-AFB3-4D1D-A7C4-56D0C677D68E}" scale="90" hiddenRows="1">
      <pane xSplit="6" ySplit="7" topLeftCell="G8" activePane="bottomRight" state="frozen"/>
      <selection pane="bottomRight" activeCell="K16" sqref="K16"/>
      <pageMargins left="0.7" right="0.7" top="0.75" bottom="0.75" header="0.3" footer="0.3"/>
      <pageSetup paperSize="9" orientation="portrait" r:id="rId10"/>
    </customSheetView>
    <customSheetView guid="{DAEDC989-02E7-4319-8354-59410ACF3F1F}" hiddenRows="1">
      <pane xSplit="6" ySplit="7" topLeftCell="G8" activePane="bottomRight" state="frozen"/>
      <selection pane="bottomRight" activeCell="K16" sqref="K16"/>
      <pageMargins left="0.7" right="0.7" top="0.75" bottom="0.75" header="0.3" footer="0.3"/>
      <pageSetup paperSize="9" orientation="portrait" r:id="rId11"/>
    </customSheetView>
    <customSheetView guid="{519948E4-0B24-465F-9D9E-44BE50D1D647}" scale="90" hiddenRows="1">
      <pane xSplit="6" ySplit="7" topLeftCell="G8" activePane="bottomRight" state="frozen"/>
      <selection pane="bottomRight" activeCell="K16" sqref="K16"/>
      <pageMargins left="0.7" right="0.7" top="0.75" bottom="0.75" header="0.3" footer="0.3"/>
      <pageSetup paperSize="9" orientation="portrait" r:id="rId12"/>
    </customSheetView>
    <customSheetView guid="{C7DC638A-7F60-46C9-A1FB-9ADEAE87F332}" scale="90" hiddenRows="1">
      <pane xSplit="6" ySplit="7" topLeftCell="G8" activePane="bottomRight" state="frozen"/>
      <selection pane="bottomRight" activeCell="K23" sqref="K23"/>
      <pageMargins left="0.7" right="0.7" top="0.75" bottom="0.75" header="0.3" footer="0.3"/>
      <pageSetup paperSize="9" orientation="portrait" r:id="rId13"/>
    </customSheetView>
    <customSheetView guid="{C01DC081-B312-4391-B775-A8CE76216D71}" scale="90" hiddenRows="1">
      <pane xSplit="6" ySplit="7" topLeftCell="G8" activePane="bottomRight" state="frozen"/>
      <selection pane="bottomRight" activeCell="F10" sqref="F10"/>
      <pageMargins left="0.7" right="0.7" top="0.75" bottom="0.75" header="0.3" footer="0.3"/>
      <pageSetup paperSize="9" orientation="portrait" r:id="rId14"/>
    </customSheetView>
    <customSheetView guid="{562453CE-35F5-40A3-AD14-6399D1197C99}" hiddenRows="1">
      <pane xSplit="6" ySplit="7" topLeftCell="G8" activePane="bottomRight" state="frozen"/>
      <selection pane="bottomRight" activeCell="K16" sqref="K16"/>
      <pageMargins left="0.7" right="0.7" top="0.75" bottom="0.75" header="0.3" footer="0.3"/>
      <pageSetup paperSize="9" orientation="portrait" r:id="rId15"/>
    </customSheetView>
    <customSheetView guid="{A7640BE7-6438-4196-9A67-AF5B992A1E70}" scale="90" hiddenRows="1">
      <pane xSplit="6" ySplit="7" topLeftCell="G8" activePane="bottomRight" state="frozen"/>
      <selection pane="bottomRight" activeCell="K16" sqref="K16"/>
      <pageMargins left="0.7" right="0.7" top="0.75" bottom="0.75" header="0.3" footer="0.3"/>
      <pageSetup paperSize="9" orientation="portrait" r:id="rId16"/>
    </customSheetView>
    <customSheetView guid="{30B635D9-57DB-47D5-8A0F-4B30DD769960}" scale="90" hiddenRows="1">
      <pane xSplit="6" ySplit="7" topLeftCell="G8" activePane="bottomRight" state="frozen"/>
      <selection pane="bottomRight" activeCell="K16" sqref="K16"/>
      <pageMargins left="0.7" right="0.7" top="0.75" bottom="0.75" header="0.3" footer="0.3"/>
      <pageSetup paperSize="9" orientation="portrait" r:id="rId17"/>
    </customSheetView>
    <customSheetView guid="{20A05A62-CBE8-4538-BBC3-2AD9D3B8FAC0}" scale="90" hiddenRows="1">
      <pane xSplit="6" ySplit="7" topLeftCell="G8" activePane="bottomRight" state="frozen"/>
      <selection pane="bottomRight" activeCell="K16" sqref="K16"/>
      <pageMargins left="0.7" right="0.7" top="0.75" bottom="0.75" header="0.3" footer="0.3"/>
      <pageSetup paperSize="9" orientation="portrait" r:id="rId18"/>
    </customSheetView>
    <customSheetView guid="{C282AA4E-1BB5-4296-9AC6-844C0F88E5FC}" scale="90" hiddenRows="1">
      <pane xSplit="6" ySplit="7" topLeftCell="G8" activePane="bottomRight" state="frozen"/>
      <selection pane="bottomRight" activeCell="E16" sqref="E16"/>
      <pageMargins left="0.7" right="0.7" top="0.75" bottom="0.75" header="0.3" footer="0.3"/>
      <pageSetup paperSize="9" orientation="portrait" r:id="rId19"/>
    </customSheetView>
    <customSheetView guid="{4E221C17-6DAB-4FFA-B18C-35D4D85AF6E8}" scale="90" hiddenRows="1">
      <pane xSplit="6" ySplit="7" topLeftCell="G8" activePane="bottomRight" state="frozen"/>
      <selection pane="bottomRight" activeCell="K16" sqref="K16"/>
      <pageMargins left="0.7" right="0.7" top="0.75" bottom="0.75" header="0.3" footer="0.3"/>
      <pageSetup paperSize="9" orientation="portrait" r:id="rId20"/>
    </customSheetView>
    <customSheetView guid="{AFADB96A-0516-43C1-9F1B-0604F3CAC04A}" scale="90" hiddenRows="1">
      <pane xSplit="6" ySplit="7" topLeftCell="G8" activePane="bottomRight" state="frozen"/>
      <selection pane="bottomRight" activeCell="K16" sqref="K16"/>
      <pageMargins left="0.7" right="0.7" top="0.75" bottom="0.75" header="0.3" footer="0.3"/>
      <pageSetup paperSize="9" orientation="portrait" r:id="rId21"/>
    </customSheetView>
    <customSheetView guid="{F528EF6A-C113-49B5-B25F-D660F898CBFB}" scale="90" hiddenRows="1">
      <pane xSplit="6" ySplit="7" topLeftCell="G8" activePane="bottomRight" state="frozen"/>
      <selection pane="bottomRight" activeCell="K27" sqref="K27"/>
      <pageMargins left="0.7" right="0.7" top="0.75" bottom="0.75" header="0.3" footer="0.3"/>
      <pageSetup paperSize="9" orientation="portrait" r:id="rId22"/>
    </customSheetView>
    <customSheetView guid="{B6B60ED6-A6CC-4DA7-A8CA-5E6DB52D5A87}" hiddenRows="1">
      <pane xSplit="6" ySplit="7" topLeftCell="G8" activePane="bottomRight" state="frozen"/>
      <selection pane="bottomRight" activeCell="K16" sqref="K16"/>
      <pageMargins left="0.7" right="0.7" top="0.75" bottom="0.75" header="0.3" footer="0.3"/>
      <pageSetup paperSize="9" orientation="portrait" r:id="rId23"/>
    </customSheetView>
    <customSheetView guid="{A4AF2100-C59D-4F60-9EAB-56D9103463F7}" scale="90" hiddenRows="1">
      <pane xSplit="6" ySplit="7" topLeftCell="G20" activePane="bottomRight" state="frozen"/>
      <selection pane="bottomRight" activeCell="J1" sqref="J1"/>
      <pageMargins left="0.7" right="0.7" top="0.75" bottom="0.75" header="0.3" footer="0.3"/>
      <pageSetup paperSize="9" orientation="portrait" r:id="rId24"/>
    </customSheetView>
    <customSheetView guid="{EA46B61D-849C-4795-A4FF-F8F1740022EB}" scale="90" hiddenRows="1">
      <pane xSplit="6" ySplit="7" topLeftCell="G8" activePane="bottomRight" state="frozen"/>
      <selection pane="bottomRight" activeCell="K16" sqref="K16"/>
      <pageMargins left="0.7" right="0.7" top="0.75" bottom="0.75" header="0.3" footer="0.3"/>
      <pageSetup paperSize="9" orientation="portrait" r:id="rId25"/>
    </customSheetView>
    <customSheetView guid="{B686A221-D885-4536-BEAC-E7F4BBC02150}" hiddenRows="1">
      <pane xSplit="6" ySplit="7" topLeftCell="G8" activePane="bottomRight" state="frozen"/>
      <selection pane="bottomRight" activeCell="K16" sqref="K16"/>
      <pageMargins left="0.7" right="0.7" top="0.75" bottom="0.75" header="0.3" footer="0.3"/>
      <pageSetup paperSize="9" orientation="portrait" r:id="rId26"/>
    </customSheetView>
    <customSheetView guid="{60A1F930-4BEC-460A-8E14-01E47F6DD055}" scale="90" hiddenRows="1">
      <pane xSplit="6" ySplit="5" topLeftCell="G55" activePane="bottomRight" state="frozen"/>
      <selection pane="bottomRight" activeCell="K16" sqref="K16"/>
      <pageMargins left="0.7" right="0.7" top="0.75" bottom="0.75" header="0.3" footer="0.3"/>
      <pageSetup paperSize="9" orientation="portrait" r:id="rId27"/>
    </customSheetView>
    <customSheetView guid="{5DF2C78B-5EE4-439D-8D72-8D3A913B65F9}" scale="90" hiddenRows="1">
      <pane xSplit="6" ySplit="7" topLeftCell="G8" activePane="bottomRight" state="frozen"/>
      <selection pane="bottomRight" activeCell="K23" sqref="K23"/>
      <pageMargins left="0.7" right="0.7" top="0.75" bottom="0.75" header="0.3" footer="0.3"/>
      <pageSetup paperSize="9" orientation="portrait" r:id="rId28"/>
    </customSheetView>
  </customSheetViews>
  <mergeCells count="34">
    <mergeCell ref="A21:A22"/>
    <mergeCell ref="B21:B22"/>
    <mergeCell ref="A12:A14"/>
    <mergeCell ref="B12:B14"/>
    <mergeCell ref="A15:A17"/>
    <mergeCell ref="B15:B17"/>
    <mergeCell ref="A18:A20"/>
    <mergeCell ref="B18:B20"/>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133BB3F8-8DD4-4AEF-8CD6-A5FB14681329}">
      <pageMargins left="0.7" right="0.7" top="0.75" bottom="0.75" header="0.3" footer="0.3"/>
    </customSheetView>
    <customSheetView guid="{7C5A2A36-3D69-43D9-9018-A52C27EC78F9}">
      <pageMargins left="0.7" right="0.7" top="0.75" bottom="0.75" header="0.3" footer="0.3"/>
    </customSheetView>
    <customSheetView guid="{2A5A11D4-90C6-4A3E-8165-7D7BD634B22F}">
      <pageMargins left="0.7" right="0.7" top="0.75" bottom="0.75" header="0.3" footer="0.3"/>
    </customSheetView>
    <customSheetView guid="{996EC2F0-F6EC-4E63-A83E-34865157BD8D}">
      <pageMargins left="0.7" right="0.7" top="0.75" bottom="0.75" header="0.3" footer="0.3"/>
    </customSheetView>
    <customSheetView guid="{AB9978E4-895D-4050-8F07-2484E22632D1}">
      <pageMargins left="0.7" right="0.7" top="0.75" bottom="0.75" header="0.3" footer="0.3"/>
    </customSheetView>
    <customSheetView guid="{21E1D423-7B38-4272-8354-09B4DB62C9EB}">
      <pageMargins left="0.7" right="0.7" top="0.75" bottom="0.75" header="0.3" footer="0.3"/>
    </customSheetView>
    <customSheetView guid="{2940A182-D1A7-43C5-8D6E-965BED4371B0}">
      <pageMargins left="0.7" right="0.7" top="0.75" bottom="0.75" header="0.3" footer="0.3"/>
    </customSheetView>
    <customSheetView guid="{C282AA4E-1BB5-4296-9AC6-844C0F88E5FC}">
      <pageMargins left="0.7" right="0.7" top="0.75" bottom="0.75" header="0.3" footer="0.3"/>
    </customSheetView>
    <customSheetView guid="{4E221C17-6DAB-4FFA-B18C-35D4D85AF6E8}">
      <pageMargins left="0.7" right="0.7" top="0.75" bottom="0.75" header="0.3" footer="0.3"/>
    </customSheetView>
    <customSheetView guid="{AFADB96A-0516-43C1-9F1B-0604F3CAC04A}">
      <pageMargins left="0.7" right="0.7" top="0.75" bottom="0.75" header="0.3" footer="0.3"/>
    </customSheetView>
    <customSheetView guid="{F528EF6A-C113-49B5-B25F-D660F898CBFB}">
      <pageMargins left="0.7" right="0.7" top="0.75" bottom="0.75" header="0.3" footer="0.3"/>
    </customSheetView>
    <customSheetView guid="{B6B60ED6-A6CC-4DA7-A8CA-5E6DB52D5A87}">
      <pageMargins left="0.7" right="0.7" top="0.75" bottom="0.75" header="0.3" footer="0.3"/>
    </customSheetView>
    <customSheetView guid="{A4AF2100-C59D-4F60-9EAB-56D9103463F7}">
      <pageMargins left="0.7" right="0.7" top="0.75" bottom="0.75" header="0.3" footer="0.3"/>
    </customSheetView>
    <customSheetView guid="{EA46B61D-849C-4795-A4FF-F8F1740022EB}">
      <pageMargins left="0.7" right="0.7" top="0.75" bottom="0.75" header="0.3" footer="0.3"/>
    </customSheetView>
    <customSheetView guid="{B686A221-D885-4536-BEAC-E7F4BBC02150}">
      <pageMargins left="0.7" right="0.7" top="0.75" bottom="0.75" header="0.3" footer="0.3"/>
    </customSheetView>
    <customSheetView guid="{60A1F930-4BEC-460A-8E14-01E47F6DD055}">
      <pageMargins left="0.7" right="0.7" top="0.75" bottom="0.75" header="0.3" footer="0.3"/>
    </customSheetView>
    <customSheetView guid="{5DF2C78B-5EE4-439D-8D72-8D3A913B65F9}">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27"/>
  <sheetViews>
    <sheetView zoomScale="80" zoomScaleNormal="80" workbookViewId="0">
      <pane xSplit="6" ySplit="7" topLeftCell="G11" activePane="bottomRight" state="frozen"/>
      <selection pane="topRight" activeCell="G1" sqref="G1"/>
      <selection pane="bottomLeft" activeCell="A8" sqref="A8"/>
      <selection pane="bottomRight" activeCell="Q19" sqref="Q19"/>
    </sheetView>
  </sheetViews>
  <sheetFormatPr defaultColWidth="9.140625" defaultRowHeight="15.75" x14ac:dyDescent="0.25"/>
  <cols>
    <col min="1" max="1" width="9.85546875" style="53" customWidth="1"/>
    <col min="2" max="2" width="42.14062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4.42578125" style="53" customWidth="1"/>
    <col min="20" max="20" width="13" style="53" customWidth="1"/>
    <col min="21" max="21" width="11.5703125" style="53" customWidth="1"/>
    <col min="22" max="22" width="14.28515625" style="53" customWidth="1"/>
    <col min="23" max="23" width="13" style="53" customWidth="1"/>
    <col min="24" max="25" width="13.5703125" style="53" customWidth="1"/>
    <col min="26" max="26" width="16.140625" style="53" customWidth="1"/>
    <col min="27" max="27" width="15.1406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33" customFormat="1" ht="31.5" x14ac:dyDescent="0.25">
      <c r="C3" s="513" t="s">
        <v>111</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33" customForma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33" customFormat="1" ht="39" customHeight="1" x14ac:dyDescent="0.25">
      <c r="A5" s="515"/>
      <c r="B5" s="518"/>
      <c r="C5" s="518"/>
      <c r="D5" s="584"/>
      <c r="E5" s="584"/>
      <c r="F5" s="584"/>
      <c r="G5" s="584"/>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33" customFormat="1" ht="63" x14ac:dyDescent="0.25">
      <c r="A6" s="516"/>
      <c r="B6" s="519"/>
      <c r="C6" s="519"/>
      <c r="D6" s="38">
        <v>2025</v>
      </c>
      <c r="E6" s="39">
        <v>45962</v>
      </c>
      <c r="F6" s="39">
        <v>45962</v>
      </c>
      <c r="G6" s="39">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42" customFormat="1" x14ac:dyDescent="0.25">
      <c r="A8" s="569"/>
      <c r="B8" s="533" t="s">
        <v>23</v>
      </c>
      <c r="C8" s="69" t="s">
        <v>20</v>
      </c>
      <c r="D8" s="70">
        <f>D9+D10+D11</f>
        <v>867667.28</v>
      </c>
      <c r="E8" s="70">
        <f>E9+E10+E11</f>
        <v>784511.35000000009</v>
      </c>
      <c r="F8" s="70">
        <f t="shared" ref="F8:G8" si="0">F9+F10+F11</f>
        <v>739664.42999999993</v>
      </c>
      <c r="G8" s="70">
        <f t="shared" si="0"/>
        <v>739664.42999999993</v>
      </c>
      <c r="H8" s="70">
        <f>IFERROR(G8/D8*100,0)</f>
        <v>85.247472971436693</v>
      </c>
      <c r="I8" s="70">
        <f>IFERROR(G8/E8*100,0)</f>
        <v>94.283458104207142</v>
      </c>
      <c r="J8" s="71">
        <f>J9+J10+J11</f>
        <v>0</v>
      </c>
      <c r="K8" s="71">
        <f t="shared" ref="K8:AG8" si="1">K9+K10+K11</f>
        <v>0</v>
      </c>
      <c r="L8" s="71">
        <f t="shared" si="1"/>
        <v>0</v>
      </c>
      <c r="M8" s="71">
        <f t="shared" si="1"/>
        <v>0</v>
      </c>
      <c r="N8" s="71">
        <f>N9+N10+N11</f>
        <v>884.99</v>
      </c>
      <c r="O8" s="71">
        <f t="shared" si="1"/>
        <v>884.99</v>
      </c>
      <c r="P8" s="71">
        <f t="shared" si="1"/>
        <v>94720</v>
      </c>
      <c r="Q8" s="71">
        <f t="shared" si="1"/>
        <v>74090</v>
      </c>
      <c r="R8" s="71">
        <f t="shared" si="1"/>
        <v>175855.7</v>
      </c>
      <c r="S8" s="71">
        <f t="shared" si="1"/>
        <v>132120</v>
      </c>
      <c r="T8" s="71">
        <f t="shared" si="1"/>
        <v>2700</v>
      </c>
      <c r="U8" s="71">
        <f t="shared" si="1"/>
        <v>16649.420000000002</v>
      </c>
      <c r="V8" s="71">
        <f t="shared" si="1"/>
        <v>106512.59999999999</v>
      </c>
      <c r="W8" s="71">
        <f t="shared" si="1"/>
        <v>110414.36000000002</v>
      </c>
      <c r="X8" s="71">
        <f t="shared" si="1"/>
        <v>187926.21</v>
      </c>
      <c r="Y8" s="71">
        <f t="shared" si="1"/>
        <v>148531.21999999997</v>
      </c>
      <c r="Z8" s="71">
        <f t="shared" si="1"/>
        <v>215911.85</v>
      </c>
      <c r="AA8" s="71">
        <f t="shared" si="1"/>
        <v>233831.98</v>
      </c>
      <c r="AB8" s="71">
        <f t="shared" si="1"/>
        <v>80405.929999999993</v>
      </c>
      <c r="AC8" s="71">
        <f t="shared" si="1"/>
        <v>23142.46</v>
      </c>
      <c r="AD8" s="71">
        <f t="shared" si="1"/>
        <v>0</v>
      </c>
      <c r="AE8" s="71">
        <f t="shared" si="1"/>
        <v>0</v>
      </c>
      <c r="AF8" s="71">
        <f t="shared" si="1"/>
        <v>2750</v>
      </c>
      <c r="AG8" s="71">
        <f t="shared" si="1"/>
        <v>0</v>
      </c>
      <c r="AH8" s="462"/>
    </row>
    <row r="9" spans="1:35" s="44" customFormat="1" ht="31.5" x14ac:dyDescent="0.25">
      <c r="A9" s="580"/>
      <c r="B9" s="534"/>
      <c r="C9" s="467" t="s">
        <v>52</v>
      </c>
      <c r="D9" s="74">
        <f>J9+L9+N9+P9+R9+T9+V9+X9+Z9+AB9+AD9+AF9</f>
        <v>103776.97</v>
      </c>
      <c r="E9" s="62">
        <f t="shared" ref="E9:E11" si="2">J9+L9+N9+P9+R9+T9+V9+X9+Z9</f>
        <v>103776.97</v>
      </c>
      <c r="F9" s="74">
        <f>F14</f>
        <v>103776.41</v>
      </c>
      <c r="G9" s="74">
        <f t="shared" ref="G9" si="3">G14</f>
        <v>103776.41</v>
      </c>
      <c r="H9" s="74">
        <f t="shared" ref="H9" si="4">IFERROR(G9/D9*100,0)</f>
        <v>99.99946038123872</v>
      </c>
      <c r="I9" s="74">
        <f t="shared" ref="I9" si="5">IFERROR(G9/E9*100,0)</f>
        <v>99.99946038123872</v>
      </c>
      <c r="J9" s="74">
        <f t="shared" ref="J9:AG9" si="6">J14</f>
        <v>0</v>
      </c>
      <c r="K9" s="74">
        <f t="shared" si="6"/>
        <v>0</v>
      </c>
      <c r="L9" s="74">
        <f t="shared" si="6"/>
        <v>0</v>
      </c>
      <c r="M9" s="74">
        <f t="shared" si="6"/>
        <v>0</v>
      </c>
      <c r="N9" s="74">
        <f t="shared" si="6"/>
        <v>0</v>
      </c>
      <c r="O9" s="74">
        <f t="shared" si="6"/>
        <v>0</v>
      </c>
      <c r="P9" s="74">
        <f t="shared" si="6"/>
        <v>0</v>
      </c>
      <c r="Q9" s="74">
        <f t="shared" si="6"/>
        <v>0</v>
      </c>
      <c r="R9" s="74">
        <f t="shared" si="6"/>
        <v>72933.52</v>
      </c>
      <c r="S9" s="74">
        <f t="shared" si="6"/>
        <v>31132.92</v>
      </c>
      <c r="T9" s="74">
        <f t="shared" si="6"/>
        <v>0</v>
      </c>
      <c r="U9" s="74">
        <f t="shared" si="6"/>
        <v>11047.94</v>
      </c>
      <c r="V9" s="74">
        <f t="shared" si="6"/>
        <v>3905.65</v>
      </c>
      <c r="W9" s="74">
        <f t="shared" si="6"/>
        <v>9022.42</v>
      </c>
      <c r="X9" s="74">
        <f t="shared" si="6"/>
        <v>26937.8</v>
      </c>
      <c r="Y9" s="74">
        <f t="shared" si="6"/>
        <v>2070.84</v>
      </c>
      <c r="Z9" s="74">
        <f t="shared" si="6"/>
        <v>0</v>
      </c>
      <c r="AA9" s="74">
        <f t="shared" si="6"/>
        <v>50502.29</v>
      </c>
      <c r="AB9" s="74">
        <f t="shared" si="6"/>
        <v>0</v>
      </c>
      <c r="AC9" s="74">
        <f t="shared" si="6"/>
        <v>0</v>
      </c>
      <c r="AD9" s="74">
        <f t="shared" si="6"/>
        <v>0</v>
      </c>
      <c r="AE9" s="74">
        <f t="shared" si="6"/>
        <v>0</v>
      </c>
      <c r="AF9" s="74">
        <f t="shared" si="6"/>
        <v>0</v>
      </c>
      <c r="AG9" s="74">
        <f t="shared" si="6"/>
        <v>0</v>
      </c>
      <c r="AH9" s="75"/>
    </row>
    <row r="10" spans="1:35" s="44" customFormat="1" ht="47.25" x14ac:dyDescent="0.25">
      <c r="A10" s="580"/>
      <c r="B10" s="534"/>
      <c r="C10" s="467" t="s">
        <v>22</v>
      </c>
      <c r="D10" s="74">
        <f t="shared" ref="D10" si="7">J10+L10+N10+P10+R10+T10+V10+X10+Z10+AB10+AD10+AF10</f>
        <v>94618.849999999991</v>
      </c>
      <c r="E10" s="62">
        <f t="shared" si="2"/>
        <v>94117.81</v>
      </c>
      <c r="F10" s="74">
        <f>F15+F26+F18</f>
        <v>93918.279999999984</v>
      </c>
      <c r="G10" s="74">
        <f t="shared" ref="G10" si="8">G15+G26+G18</f>
        <v>93918.279999999984</v>
      </c>
      <c r="H10" s="74">
        <f>IFERROR(G10/D10*100,0)</f>
        <v>99.25958728096991</v>
      </c>
      <c r="I10" s="74">
        <f>IFERROR(G10/E10*100,0)</f>
        <v>99.787999742025434</v>
      </c>
      <c r="J10" s="74">
        <f t="shared" ref="J10:AG10" si="9">J15+J26+J18</f>
        <v>0</v>
      </c>
      <c r="K10" s="74">
        <f t="shared" si="9"/>
        <v>0</v>
      </c>
      <c r="L10" s="74">
        <f t="shared" si="9"/>
        <v>0</v>
      </c>
      <c r="M10" s="74">
        <f t="shared" si="9"/>
        <v>0</v>
      </c>
      <c r="N10" s="74">
        <f t="shared" si="9"/>
        <v>0</v>
      </c>
      <c r="O10" s="74">
        <f t="shared" si="9"/>
        <v>0</v>
      </c>
      <c r="P10" s="74">
        <f t="shared" si="9"/>
        <v>0</v>
      </c>
      <c r="Q10" s="74">
        <f t="shared" si="9"/>
        <v>0</v>
      </c>
      <c r="R10" s="74">
        <f t="shared" si="9"/>
        <v>40216.19</v>
      </c>
      <c r="S10" s="74">
        <f t="shared" si="9"/>
        <v>39793.949999999997</v>
      </c>
      <c r="T10" s="74">
        <f t="shared" si="9"/>
        <v>0</v>
      </c>
      <c r="U10" s="74">
        <f t="shared" si="9"/>
        <v>111.6</v>
      </c>
      <c r="V10" s="74">
        <f t="shared" si="9"/>
        <v>8991.69</v>
      </c>
      <c r="W10" s="74">
        <f t="shared" si="9"/>
        <v>7474.73</v>
      </c>
      <c r="X10" s="74">
        <f t="shared" si="9"/>
        <v>38602.03</v>
      </c>
      <c r="Y10" s="74">
        <f t="shared" si="9"/>
        <v>39920.06</v>
      </c>
      <c r="Z10" s="74">
        <f t="shared" si="9"/>
        <v>6307.9</v>
      </c>
      <c r="AA10" s="74">
        <f t="shared" si="9"/>
        <v>510.14</v>
      </c>
      <c r="AB10" s="74">
        <f t="shared" si="9"/>
        <v>501.04</v>
      </c>
      <c r="AC10" s="74">
        <f t="shared" si="9"/>
        <v>6107.8</v>
      </c>
      <c r="AD10" s="74">
        <f t="shared" si="9"/>
        <v>0</v>
      </c>
      <c r="AE10" s="74">
        <f t="shared" si="9"/>
        <v>0</v>
      </c>
      <c r="AF10" s="74">
        <f t="shared" si="9"/>
        <v>0</v>
      </c>
      <c r="AG10" s="74">
        <f t="shared" si="9"/>
        <v>0</v>
      </c>
      <c r="AH10" s="75"/>
    </row>
    <row r="11" spans="1:35" s="44" customFormat="1" ht="31.5" x14ac:dyDescent="0.25">
      <c r="A11" s="570"/>
      <c r="B11" s="535"/>
      <c r="C11" s="467" t="s">
        <v>21</v>
      </c>
      <c r="D11" s="74">
        <f>J11+L11+N11+P11+R11+T11+V11+X11+Z11+AB11+AD11+AF11</f>
        <v>669271.46000000008</v>
      </c>
      <c r="E11" s="62">
        <f t="shared" si="2"/>
        <v>586616.57000000007</v>
      </c>
      <c r="F11" s="74">
        <f t="shared" ref="F11:G11" si="10">F16+F19+F21+F23+F27</f>
        <v>541969.74</v>
      </c>
      <c r="G11" s="74">
        <f t="shared" si="10"/>
        <v>541969.74</v>
      </c>
      <c r="H11" s="74">
        <f>IFERROR(G11/D11*100,0)</f>
        <v>80.979060424898435</v>
      </c>
      <c r="I11" s="74">
        <f>IFERROR(G11/E11*100,0)</f>
        <v>92.389094975615834</v>
      </c>
      <c r="J11" s="74">
        <f t="shared" ref="J11:AG11" si="11">J16+J19+J21+J23+J27</f>
        <v>0</v>
      </c>
      <c r="K11" s="74">
        <f t="shared" si="11"/>
        <v>0</v>
      </c>
      <c r="L11" s="74">
        <f t="shared" si="11"/>
        <v>0</v>
      </c>
      <c r="M11" s="74">
        <f t="shared" si="11"/>
        <v>0</v>
      </c>
      <c r="N11" s="74">
        <f t="shared" si="11"/>
        <v>884.99</v>
      </c>
      <c r="O11" s="74">
        <f t="shared" si="11"/>
        <v>884.99</v>
      </c>
      <c r="P11" s="74">
        <f t="shared" si="11"/>
        <v>94720</v>
      </c>
      <c r="Q11" s="74">
        <f t="shared" si="11"/>
        <v>74090</v>
      </c>
      <c r="R11" s="74">
        <f t="shared" si="11"/>
        <v>62705.99</v>
      </c>
      <c r="S11" s="74">
        <f t="shared" si="11"/>
        <v>61193.13</v>
      </c>
      <c r="T11" s="74">
        <f t="shared" si="11"/>
        <v>2700</v>
      </c>
      <c r="U11" s="74">
        <f t="shared" si="11"/>
        <v>5489.88</v>
      </c>
      <c r="V11" s="74">
        <f t="shared" si="11"/>
        <v>93615.26</v>
      </c>
      <c r="W11" s="74">
        <f t="shared" si="11"/>
        <v>93917.21</v>
      </c>
      <c r="X11" s="74">
        <f t="shared" si="11"/>
        <v>122386.37999999999</v>
      </c>
      <c r="Y11" s="74">
        <f t="shared" si="11"/>
        <v>106540.31999999999</v>
      </c>
      <c r="Z11" s="74">
        <f t="shared" si="11"/>
        <v>209603.95</v>
      </c>
      <c r="AA11" s="74">
        <f t="shared" si="11"/>
        <v>182819.55000000002</v>
      </c>
      <c r="AB11" s="74">
        <f t="shared" si="11"/>
        <v>79904.89</v>
      </c>
      <c r="AC11" s="74">
        <f t="shared" si="11"/>
        <v>17034.66</v>
      </c>
      <c r="AD11" s="74">
        <f t="shared" si="11"/>
        <v>0</v>
      </c>
      <c r="AE11" s="74">
        <f t="shared" si="11"/>
        <v>0</v>
      </c>
      <c r="AF11" s="74">
        <f t="shared" si="11"/>
        <v>2750</v>
      </c>
      <c r="AG11" s="74">
        <f t="shared" si="11"/>
        <v>0</v>
      </c>
      <c r="AH11" s="75"/>
    </row>
    <row r="12" spans="1:35" s="47" customFormat="1" x14ac:dyDescent="0.25">
      <c r="A12" s="45"/>
      <c r="B12" s="536" t="s">
        <v>49</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8"/>
      <c r="AH12" s="46"/>
    </row>
    <row r="13" spans="1:35" s="77" customFormat="1" x14ac:dyDescent="0.25">
      <c r="A13" s="539" t="s">
        <v>50</v>
      </c>
      <c r="B13" s="527" t="s">
        <v>53</v>
      </c>
      <c r="C13" s="57" t="s">
        <v>20</v>
      </c>
      <c r="D13" s="58">
        <f>D15+D16+D14</f>
        <v>777723.44</v>
      </c>
      <c r="E13" s="58">
        <f>E15+E16+E14</f>
        <v>777723.44</v>
      </c>
      <c r="F13" s="58">
        <f>F15+F16+F14</f>
        <v>659924.92000000004</v>
      </c>
      <c r="G13" s="58">
        <f t="shared" ref="G13:J13" si="12">G15+G16+G14</f>
        <v>659924.92000000004</v>
      </c>
      <c r="H13" s="58">
        <f t="shared" ref="H13:H16" si="13">IFERROR(G13/D13*100,0)</f>
        <v>84.853417816492723</v>
      </c>
      <c r="I13" s="58">
        <f t="shared" ref="I13:I16" si="14">IFERROR(G13/E13*100,0)</f>
        <v>84.853417816492723</v>
      </c>
      <c r="J13" s="58">
        <f t="shared" si="12"/>
        <v>0</v>
      </c>
      <c r="K13" s="58">
        <f t="shared" ref="K13" si="15">K15+K16+K14</f>
        <v>0</v>
      </c>
      <c r="L13" s="58">
        <f t="shared" ref="L13" si="16">L15+L16+L14</f>
        <v>0</v>
      </c>
      <c r="M13" s="58">
        <f t="shared" ref="M13" si="17">M15+M16+M14</f>
        <v>0</v>
      </c>
      <c r="N13" s="58">
        <f t="shared" ref="N13" si="18">N15+N16+N14</f>
        <v>884.99</v>
      </c>
      <c r="O13" s="58">
        <f t="shared" ref="O13" si="19">O15+O16+O14</f>
        <v>884.99</v>
      </c>
      <c r="P13" s="58">
        <f t="shared" ref="P13" si="20">P15+P16+P14</f>
        <v>87180</v>
      </c>
      <c r="Q13" s="58">
        <f t="shared" ref="Q13" si="21">Q15+Q16+Q14</f>
        <v>69300</v>
      </c>
      <c r="R13" s="58">
        <f t="shared" ref="R13" si="22">R15+R16+R14</f>
        <v>175855.7</v>
      </c>
      <c r="S13" s="58">
        <f t="shared" ref="S13" si="23">S15+S16+S14</f>
        <v>132120</v>
      </c>
      <c r="T13" s="58">
        <f t="shared" ref="T13" si="24">T15+T16+T14</f>
        <v>0</v>
      </c>
      <c r="U13" s="58">
        <f t="shared" ref="U13" si="25">U15+U16+U14</f>
        <v>13949.42</v>
      </c>
      <c r="V13" s="58">
        <f t="shared" ref="V13" si="26">V15+V16+V14</f>
        <v>86941.599999999991</v>
      </c>
      <c r="W13" s="58">
        <f t="shared" ref="W13" si="27">W15+W16+W14</f>
        <v>91441.36</v>
      </c>
      <c r="X13" s="58">
        <f t="shared" ref="X13" si="28">X15+X16+X14</f>
        <v>179580.3</v>
      </c>
      <c r="Y13" s="58">
        <f t="shared" ref="Y13" si="29">Y15+Y16+Y14</f>
        <v>140185.31</v>
      </c>
      <c r="Z13" s="58">
        <f t="shared" ref="Z13" si="30">Z15+Z16+Z14</f>
        <v>183616.2</v>
      </c>
      <c r="AA13" s="58">
        <f t="shared" ref="AA13" si="31">AA15+AA16+AA14</f>
        <v>211057.44000000003</v>
      </c>
      <c r="AB13" s="58">
        <f t="shared" ref="AB13" si="32">AB15+AB16+AB14</f>
        <v>63664.65</v>
      </c>
      <c r="AC13" s="58">
        <f t="shared" ref="AC13" si="33">AC15+AC16+AC14</f>
        <v>986.4</v>
      </c>
      <c r="AD13" s="58">
        <f t="shared" ref="AD13" si="34">AD15+AD16+AD14</f>
        <v>0</v>
      </c>
      <c r="AE13" s="58">
        <f t="shared" ref="AE13" si="35">AE15+AE16+AE14</f>
        <v>0</v>
      </c>
      <c r="AF13" s="58">
        <f t="shared" ref="AF13" si="36">AF15+AF16+AF14</f>
        <v>0</v>
      </c>
      <c r="AG13" s="58">
        <f t="shared" ref="AG13" si="37">AG15+AG16+AG14</f>
        <v>0</v>
      </c>
      <c r="AH13" s="461"/>
      <c r="AI13" s="76"/>
    </row>
    <row r="14" spans="1:35" s="77" customFormat="1" ht="409.5" customHeight="1" x14ac:dyDescent="0.25">
      <c r="A14" s="540"/>
      <c r="B14" s="528"/>
      <c r="C14" s="466" t="s">
        <v>52</v>
      </c>
      <c r="D14" s="62">
        <f>SUM(J14,L14,N14,P14,R14,T14,V14,X14,Z14,AB14,AD14,AF14)</f>
        <v>103776.97</v>
      </c>
      <c r="E14" s="62">
        <f>J14+L14+N14+P14+R14+T14+V14+X14+Z14+AB14</f>
        <v>103776.97</v>
      </c>
      <c r="F14" s="62">
        <f>G14</f>
        <v>103776.41</v>
      </c>
      <c r="G14" s="62">
        <f>SUM(K14,M14,O14,Q14,S14,U14,W14,Y14,AA14,AC14,AE14,AG14)</f>
        <v>103776.41</v>
      </c>
      <c r="H14" s="62">
        <f t="shared" si="13"/>
        <v>99.99946038123872</v>
      </c>
      <c r="I14" s="62">
        <f t="shared" si="14"/>
        <v>99.99946038123872</v>
      </c>
      <c r="J14" s="62">
        <v>0</v>
      </c>
      <c r="K14" s="62">
        <v>0</v>
      </c>
      <c r="L14" s="62">
        <v>0</v>
      </c>
      <c r="M14" s="62">
        <v>0</v>
      </c>
      <c r="N14" s="62">
        <v>0</v>
      </c>
      <c r="O14" s="62">
        <v>0</v>
      </c>
      <c r="P14" s="62">
        <v>0</v>
      </c>
      <c r="Q14" s="62">
        <v>0</v>
      </c>
      <c r="R14" s="62">
        <v>72933.52</v>
      </c>
      <c r="S14" s="62">
        <v>31132.92</v>
      </c>
      <c r="T14" s="62">
        <v>0</v>
      </c>
      <c r="U14" s="62">
        <v>11047.94</v>
      </c>
      <c r="V14" s="62">
        <v>3905.65</v>
      </c>
      <c r="W14" s="62">
        <v>9022.42</v>
      </c>
      <c r="X14" s="62">
        <v>26937.8</v>
      </c>
      <c r="Y14" s="62">
        <v>2070.84</v>
      </c>
      <c r="Z14" s="62">
        <v>0</v>
      </c>
      <c r="AA14" s="62">
        <v>50502.29</v>
      </c>
      <c r="AB14" s="62">
        <v>0</v>
      </c>
      <c r="AC14" s="62">
        <v>0</v>
      </c>
      <c r="AD14" s="62">
        <v>0</v>
      </c>
      <c r="AE14" s="62">
        <v>0</v>
      </c>
      <c r="AF14" s="62">
        <v>0</v>
      </c>
      <c r="AG14" s="62">
        <v>0</v>
      </c>
      <c r="AH14" s="480" t="s">
        <v>424</v>
      </c>
      <c r="AI14" s="76"/>
    </row>
    <row r="15" spans="1:35" s="77" customFormat="1" ht="47.25" x14ac:dyDescent="0.25">
      <c r="A15" s="540"/>
      <c r="B15" s="528"/>
      <c r="C15" s="466" t="s">
        <v>22</v>
      </c>
      <c r="D15" s="62">
        <f>SUM(J15,L15,N15,P15,R15,T15,V15,X15,Z15,AB15,AD15,AF15)</f>
        <v>84418.84</v>
      </c>
      <c r="E15" s="62">
        <f t="shared" ref="E15:E16" si="38">J15+L15+N15+P15+R15+T15+V15+X15+Z15+AB15</f>
        <v>84418.84</v>
      </c>
      <c r="F15" s="62">
        <f>G15</f>
        <v>84419.409999999989</v>
      </c>
      <c r="G15" s="62">
        <f>SUM(K15,M15,O15,Q15,S15,U15,W15,Y15,AA15,AC15,AE15,AG15)</f>
        <v>84419.409999999989</v>
      </c>
      <c r="H15" s="62">
        <f t="shared" si="13"/>
        <v>100.00067520472918</v>
      </c>
      <c r="I15" s="62">
        <f t="shared" si="14"/>
        <v>100.00067520472918</v>
      </c>
      <c r="J15" s="63">
        <v>0</v>
      </c>
      <c r="K15" s="63">
        <v>0</v>
      </c>
      <c r="L15" s="63">
        <v>0</v>
      </c>
      <c r="M15" s="63">
        <v>0</v>
      </c>
      <c r="N15" s="63">
        <v>0</v>
      </c>
      <c r="O15" s="63">
        <v>0</v>
      </c>
      <c r="P15" s="63">
        <v>0</v>
      </c>
      <c r="Q15" s="63">
        <v>0</v>
      </c>
      <c r="R15" s="63">
        <v>40216.19</v>
      </c>
      <c r="S15" s="63">
        <v>39793.949999999997</v>
      </c>
      <c r="T15" s="63">
        <v>0</v>
      </c>
      <c r="U15" s="63">
        <v>111.6</v>
      </c>
      <c r="V15" s="63">
        <v>6108.83</v>
      </c>
      <c r="W15" s="63">
        <v>4591.87</v>
      </c>
      <c r="X15" s="63">
        <v>38093.82</v>
      </c>
      <c r="Y15" s="63">
        <v>39411.85</v>
      </c>
      <c r="Z15" s="63">
        <v>0</v>
      </c>
      <c r="AA15" s="63">
        <v>510.14</v>
      </c>
      <c r="AB15" s="63">
        <v>0</v>
      </c>
      <c r="AC15" s="63">
        <v>0</v>
      </c>
      <c r="AD15" s="63">
        <v>0</v>
      </c>
      <c r="AE15" s="63">
        <v>0</v>
      </c>
      <c r="AF15" s="63">
        <v>0</v>
      </c>
      <c r="AG15" s="63">
        <v>0</v>
      </c>
      <c r="AH15" s="481"/>
      <c r="AI15" s="76"/>
    </row>
    <row r="16" spans="1:35" s="50" customFormat="1" ht="31.5" x14ac:dyDescent="0.25">
      <c r="A16" s="541"/>
      <c r="B16" s="529"/>
      <c r="C16" s="466" t="s">
        <v>21</v>
      </c>
      <c r="D16" s="62">
        <f>SUM(J16,L16,N16,P16,R16,T16,V16,X16,Z16,AB16,AD16,AF16)</f>
        <v>589527.63</v>
      </c>
      <c r="E16" s="62">
        <f t="shared" si="38"/>
        <v>589527.63</v>
      </c>
      <c r="F16" s="62">
        <f>G16</f>
        <v>471729.10000000003</v>
      </c>
      <c r="G16" s="62">
        <f>SUM(K16,M16,O16,Q16,S16,U16,W16,Y16,AA16,AC16,AE16,AG16)</f>
        <v>471729.10000000003</v>
      </c>
      <c r="H16" s="62">
        <f t="shared" si="13"/>
        <v>80.01814944619305</v>
      </c>
      <c r="I16" s="62">
        <f t="shared" si="14"/>
        <v>80.01814944619305</v>
      </c>
      <c r="J16" s="67">
        <v>0</v>
      </c>
      <c r="K16" s="67">
        <v>0</v>
      </c>
      <c r="L16" s="67">
        <v>0</v>
      </c>
      <c r="M16" s="67">
        <v>0</v>
      </c>
      <c r="N16" s="67">
        <v>884.99</v>
      </c>
      <c r="O16" s="67">
        <v>884.99</v>
      </c>
      <c r="P16" s="67">
        <v>87180</v>
      </c>
      <c r="Q16" s="67">
        <v>69300</v>
      </c>
      <c r="R16" s="67">
        <v>62705.99</v>
      </c>
      <c r="S16" s="67">
        <v>61193.13</v>
      </c>
      <c r="T16" s="67">
        <v>0</v>
      </c>
      <c r="U16" s="67">
        <v>2789.88</v>
      </c>
      <c r="V16" s="67">
        <v>76927.12</v>
      </c>
      <c r="W16" s="67">
        <v>77827.070000000007</v>
      </c>
      <c r="X16" s="67">
        <v>114548.68</v>
      </c>
      <c r="Y16" s="67">
        <v>98702.62</v>
      </c>
      <c r="Z16" s="67">
        <v>183616.2</v>
      </c>
      <c r="AA16" s="67">
        <v>160045.01</v>
      </c>
      <c r="AB16" s="67">
        <v>63664.65</v>
      </c>
      <c r="AC16" s="67">
        <v>986.4</v>
      </c>
      <c r="AD16" s="67">
        <v>0</v>
      </c>
      <c r="AE16" s="67">
        <v>0</v>
      </c>
      <c r="AF16" s="67">
        <v>0</v>
      </c>
      <c r="AG16" s="67">
        <v>0</v>
      </c>
      <c r="AH16" s="482"/>
      <c r="AI16" s="49"/>
    </row>
    <row r="17" spans="1:35" s="50" customFormat="1" ht="195" customHeight="1" x14ac:dyDescent="0.25">
      <c r="A17" s="464" t="s">
        <v>333</v>
      </c>
      <c r="B17" s="465" t="s">
        <v>336</v>
      </c>
      <c r="C17" s="57" t="s">
        <v>20</v>
      </c>
      <c r="D17" s="58">
        <f>D19+D18</f>
        <v>52221.340000000004</v>
      </c>
      <c r="E17" s="58">
        <f>E19+E18</f>
        <v>52221.340000000004</v>
      </c>
      <c r="F17" s="58">
        <f>F18+F19</f>
        <v>49414.360000000008</v>
      </c>
      <c r="G17" s="58">
        <f>G18+G19</f>
        <v>49414.360000000008</v>
      </c>
      <c r="H17" s="58">
        <f t="shared" ref="H17:H23" si="39">IFERROR(G17/D17*100,0)</f>
        <v>94.624841109017893</v>
      </c>
      <c r="I17" s="58">
        <f t="shared" ref="I17:I23" si="40">IFERROR(G17/E17*100,0)</f>
        <v>94.624841109017893</v>
      </c>
      <c r="J17" s="58">
        <f t="shared" ref="J17:O17" si="41">J18+J19</f>
        <v>0</v>
      </c>
      <c r="K17" s="58">
        <f t="shared" si="41"/>
        <v>0</v>
      </c>
      <c r="L17" s="58">
        <f t="shared" si="41"/>
        <v>0</v>
      </c>
      <c r="M17" s="58">
        <f t="shared" si="41"/>
        <v>0</v>
      </c>
      <c r="N17" s="58">
        <f t="shared" si="41"/>
        <v>0</v>
      </c>
      <c r="O17" s="58">
        <f t="shared" si="41"/>
        <v>0</v>
      </c>
      <c r="P17" s="58">
        <f>P18+P19</f>
        <v>0</v>
      </c>
      <c r="Q17" s="58">
        <f t="shared" ref="Q17:AG17" si="42">Q18+Q19</f>
        <v>0</v>
      </c>
      <c r="R17" s="58">
        <f>R18+R19</f>
        <v>0</v>
      </c>
      <c r="S17" s="58">
        <f t="shared" si="42"/>
        <v>0</v>
      </c>
      <c r="T17" s="58">
        <f t="shared" si="42"/>
        <v>0</v>
      </c>
      <c r="U17" s="58">
        <f t="shared" si="42"/>
        <v>0</v>
      </c>
      <c r="V17" s="58">
        <f t="shared" si="42"/>
        <v>14997</v>
      </c>
      <c r="W17" s="58">
        <f t="shared" si="42"/>
        <v>14997</v>
      </c>
      <c r="X17" s="58">
        <f t="shared" si="42"/>
        <v>2643.75</v>
      </c>
      <c r="Y17" s="58">
        <f t="shared" si="42"/>
        <v>2643.75</v>
      </c>
      <c r="Z17" s="58">
        <f t="shared" si="42"/>
        <v>31973.9</v>
      </c>
      <c r="AA17" s="58">
        <f t="shared" si="42"/>
        <v>20024.54</v>
      </c>
      <c r="AB17" s="58">
        <f t="shared" si="42"/>
        <v>2606.69</v>
      </c>
      <c r="AC17" s="58">
        <f t="shared" si="42"/>
        <v>11749.07</v>
      </c>
      <c r="AD17" s="58">
        <f t="shared" si="42"/>
        <v>0</v>
      </c>
      <c r="AE17" s="58">
        <f t="shared" si="42"/>
        <v>0</v>
      </c>
      <c r="AF17" s="58">
        <f t="shared" si="42"/>
        <v>0</v>
      </c>
      <c r="AG17" s="58">
        <f t="shared" si="42"/>
        <v>0</v>
      </c>
      <c r="AH17" s="485" t="s">
        <v>425</v>
      </c>
      <c r="AI17" s="49"/>
    </row>
    <row r="18" spans="1:35" s="50" customFormat="1" ht="45" x14ac:dyDescent="0.25">
      <c r="A18" s="464"/>
      <c r="B18" s="465"/>
      <c r="C18" s="327" t="s">
        <v>22</v>
      </c>
      <c r="D18" s="62">
        <f>SUM(J18,L18,N18,P18,R18,T18,V18,X18,Z18,AB18,AD18,AF18)</f>
        <v>10200.01</v>
      </c>
      <c r="E18" s="62">
        <f>J18+L18+N18+P18+R18+T18+V18+X18+Z18+AB18</f>
        <v>10200.01</v>
      </c>
      <c r="F18" s="62">
        <f>G18</f>
        <v>9498.8700000000008</v>
      </c>
      <c r="G18" s="62">
        <f>SUM(K18,M18,O18,Q18,S18,U18,W18,Y18,AA18,AC18,AE18,AG18)</f>
        <v>9498.8700000000008</v>
      </c>
      <c r="H18" s="62">
        <f>IFERROR(G18/D18*100,0)</f>
        <v>93.126085170504737</v>
      </c>
      <c r="I18" s="62">
        <f t="shared" si="40"/>
        <v>93.126085170504737</v>
      </c>
      <c r="J18" s="62">
        <v>0</v>
      </c>
      <c r="K18" s="62">
        <v>0</v>
      </c>
      <c r="L18" s="62">
        <v>0</v>
      </c>
      <c r="M18" s="62">
        <v>0</v>
      </c>
      <c r="N18" s="62">
        <v>0</v>
      </c>
      <c r="O18" s="62">
        <v>0</v>
      </c>
      <c r="P18" s="62">
        <v>0</v>
      </c>
      <c r="Q18" s="62">
        <v>0</v>
      </c>
      <c r="R18" s="62">
        <v>0</v>
      </c>
      <c r="S18" s="62">
        <v>0</v>
      </c>
      <c r="T18" s="62">
        <v>0</v>
      </c>
      <c r="U18" s="62">
        <v>0</v>
      </c>
      <c r="V18" s="62">
        <v>2882.86</v>
      </c>
      <c r="W18" s="62">
        <v>2882.86</v>
      </c>
      <c r="X18" s="62">
        <v>508.21</v>
      </c>
      <c r="Y18" s="62">
        <v>508.21</v>
      </c>
      <c r="Z18" s="62">
        <v>6307.9</v>
      </c>
      <c r="AA18" s="62">
        <v>0</v>
      </c>
      <c r="AB18" s="62">
        <v>501.04</v>
      </c>
      <c r="AC18" s="62">
        <v>6107.8</v>
      </c>
      <c r="AD18" s="62">
        <v>0</v>
      </c>
      <c r="AE18" s="62">
        <v>0</v>
      </c>
      <c r="AF18" s="62">
        <v>0</v>
      </c>
      <c r="AG18" s="62">
        <v>0</v>
      </c>
      <c r="AH18" s="483"/>
      <c r="AI18" s="49"/>
    </row>
    <row r="19" spans="1:35" s="50" customFormat="1" ht="31.5" x14ac:dyDescent="0.25">
      <c r="A19" s="464"/>
      <c r="B19" s="465"/>
      <c r="C19" s="466" t="s">
        <v>21</v>
      </c>
      <c r="D19" s="62">
        <f>SUM(J19,L19,N19,P19,R19,T19,V19,X19,Z19,AB19,AD19,AF19)</f>
        <v>42021.33</v>
      </c>
      <c r="E19" s="62">
        <f>J19+L19+N19+P19+R19+T19+V19+X19+Z19+AB19</f>
        <v>42021.33</v>
      </c>
      <c r="F19" s="62">
        <f>G19</f>
        <v>39915.490000000005</v>
      </c>
      <c r="G19" s="62">
        <f>SUM(K19,M19,O19,Q19,S19,U19,W19,Y19,AA19,AC19,AE19,AG19)</f>
        <v>39915.490000000005</v>
      </c>
      <c r="H19" s="62">
        <f>IFERROR(G19/D19*100,0)</f>
        <v>94.988640292917921</v>
      </c>
      <c r="I19" s="62">
        <f t="shared" si="40"/>
        <v>94.988640292917921</v>
      </c>
      <c r="J19" s="62">
        <v>0</v>
      </c>
      <c r="K19" s="62">
        <v>0</v>
      </c>
      <c r="L19" s="62">
        <v>0</v>
      </c>
      <c r="M19" s="62">
        <v>0</v>
      </c>
      <c r="N19" s="62">
        <v>0</v>
      </c>
      <c r="O19" s="62">
        <v>0</v>
      </c>
      <c r="P19" s="62">
        <v>0</v>
      </c>
      <c r="Q19" s="62">
        <v>0</v>
      </c>
      <c r="R19" s="62">
        <v>0</v>
      </c>
      <c r="S19" s="62">
        <v>0</v>
      </c>
      <c r="T19" s="62">
        <v>0</v>
      </c>
      <c r="U19" s="62">
        <v>0</v>
      </c>
      <c r="V19" s="62">
        <v>12114.14</v>
      </c>
      <c r="W19" s="62">
        <v>12114.14</v>
      </c>
      <c r="X19" s="62">
        <v>2135.54</v>
      </c>
      <c r="Y19" s="62">
        <v>2135.54</v>
      </c>
      <c r="Z19" s="62">
        <v>25666</v>
      </c>
      <c r="AA19" s="62">
        <v>20024.54</v>
      </c>
      <c r="AB19" s="62">
        <v>2105.65</v>
      </c>
      <c r="AC19" s="62">
        <v>5641.27</v>
      </c>
      <c r="AD19" s="62">
        <v>0</v>
      </c>
      <c r="AE19" s="62">
        <v>0</v>
      </c>
      <c r="AF19" s="62">
        <v>0</v>
      </c>
      <c r="AG19" s="62">
        <v>0</v>
      </c>
      <c r="AH19" s="484"/>
      <c r="AI19" s="49"/>
    </row>
    <row r="20" spans="1:35" s="50" customFormat="1" ht="409.5" x14ac:dyDescent="0.25">
      <c r="A20" s="545" t="s">
        <v>37</v>
      </c>
      <c r="B20" s="527" t="s">
        <v>335</v>
      </c>
      <c r="C20" s="57" t="s">
        <v>20</v>
      </c>
      <c r="D20" s="58">
        <f>D21</f>
        <v>22722.5</v>
      </c>
      <c r="E20" s="58">
        <f t="shared" ref="E20:G20" si="43">E21</f>
        <v>22722.5</v>
      </c>
      <c r="F20" s="58">
        <f t="shared" si="43"/>
        <v>18075.150000000001</v>
      </c>
      <c r="G20" s="58">
        <f t="shared" si="43"/>
        <v>18075.150000000001</v>
      </c>
      <c r="H20" s="58">
        <f t="shared" si="39"/>
        <v>79.547364946638794</v>
      </c>
      <c r="I20" s="58">
        <f t="shared" si="40"/>
        <v>79.547364946638794</v>
      </c>
      <c r="J20" s="59">
        <f>J21</f>
        <v>0</v>
      </c>
      <c r="K20" s="59">
        <f t="shared" ref="K20:AG20" si="44">K21</f>
        <v>0</v>
      </c>
      <c r="L20" s="59">
        <f t="shared" si="44"/>
        <v>0</v>
      </c>
      <c r="M20" s="59">
        <f t="shared" si="44"/>
        <v>0</v>
      </c>
      <c r="N20" s="59">
        <f t="shared" si="44"/>
        <v>0</v>
      </c>
      <c r="O20" s="59">
        <f t="shared" si="44"/>
        <v>0</v>
      </c>
      <c r="P20" s="59">
        <f t="shared" si="44"/>
        <v>990</v>
      </c>
      <c r="Q20" s="59">
        <f t="shared" si="44"/>
        <v>990</v>
      </c>
      <c r="R20" s="59">
        <f t="shared" si="44"/>
        <v>0</v>
      </c>
      <c r="S20" s="59">
        <f t="shared" si="44"/>
        <v>0</v>
      </c>
      <c r="T20" s="59">
        <f t="shared" si="44"/>
        <v>0</v>
      </c>
      <c r="U20" s="59">
        <f t="shared" si="44"/>
        <v>0</v>
      </c>
      <c r="V20" s="59">
        <f t="shared" si="44"/>
        <v>1574</v>
      </c>
      <c r="W20" s="59">
        <f t="shared" si="44"/>
        <v>976</v>
      </c>
      <c r="X20" s="59">
        <f t="shared" si="44"/>
        <v>5702.16</v>
      </c>
      <c r="Y20" s="59">
        <f t="shared" si="44"/>
        <v>5702.16</v>
      </c>
      <c r="Z20" s="59">
        <f t="shared" si="44"/>
        <v>321.75</v>
      </c>
      <c r="AA20" s="59">
        <f t="shared" si="44"/>
        <v>0</v>
      </c>
      <c r="AB20" s="59">
        <f t="shared" si="44"/>
        <v>14134.59</v>
      </c>
      <c r="AC20" s="59">
        <f t="shared" si="44"/>
        <v>10406.99</v>
      </c>
      <c r="AD20" s="59">
        <f t="shared" si="44"/>
        <v>0</v>
      </c>
      <c r="AE20" s="59">
        <f t="shared" si="44"/>
        <v>0</v>
      </c>
      <c r="AF20" s="59">
        <f t="shared" si="44"/>
        <v>0</v>
      </c>
      <c r="AG20" s="59">
        <f t="shared" si="44"/>
        <v>0</v>
      </c>
      <c r="AH20" s="143" t="s">
        <v>408</v>
      </c>
      <c r="AI20" s="49"/>
    </row>
    <row r="21" spans="1:35" s="50" customFormat="1" ht="31.5" x14ac:dyDescent="0.25">
      <c r="A21" s="594"/>
      <c r="B21" s="529"/>
      <c r="C21" s="466" t="s">
        <v>21</v>
      </c>
      <c r="D21" s="62">
        <f>SUM(J21,L21,N21,P21,R21,T21,V21,X21,Z21,AB21,AD21,AF21)</f>
        <v>22722.5</v>
      </c>
      <c r="E21" s="62">
        <f>J21+L21+N21+P21+R21+T21+V21+X21+Z21+AB21</f>
        <v>22722.5</v>
      </c>
      <c r="F21" s="62">
        <f>G21</f>
        <v>18075.150000000001</v>
      </c>
      <c r="G21" s="62">
        <f>SUM(K21,M21,O21,Q21,S21,U21,W21,Y21,AA21,AC21,AE21,AG21)</f>
        <v>18075.150000000001</v>
      </c>
      <c r="H21" s="62">
        <f t="shared" si="39"/>
        <v>79.547364946638794</v>
      </c>
      <c r="I21" s="62">
        <f t="shared" si="40"/>
        <v>79.547364946638794</v>
      </c>
      <c r="J21" s="63">
        <v>0</v>
      </c>
      <c r="K21" s="63">
        <v>0</v>
      </c>
      <c r="L21" s="63">
        <v>0</v>
      </c>
      <c r="M21" s="63">
        <v>0</v>
      </c>
      <c r="N21" s="63">
        <v>0</v>
      </c>
      <c r="O21" s="63">
        <v>0</v>
      </c>
      <c r="P21" s="63">
        <v>990</v>
      </c>
      <c r="Q21" s="63">
        <v>990</v>
      </c>
      <c r="R21" s="63">
        <v>0</v>
      </c>
      <c r="S21" s="63">
        <v>0</v>
      </c>
      <c r="T21" s="63">
        <v>0</v>
      </c>
      <c r="U21" s="63">
        <v>0</v>
      </c>
      <c r="V21" s="63">
        <v>1574</v>
      </c>
      <c r="W21" s="63">
        <v>976</v>
      </c>
      <c r="X21" s="63">
        <v>5702.16</v>
      </c>
      <c r="Y21" s="63">
        <v>5702.16</v>
      </c>
      <c r="Z21" s="63">
        <v>321.75</v>
      </c>
      <c r="AA21" s="63">
        <v>0</v>
      </c>
      <c r="AB21" s="63">
        <v>14134.59</v>
      </c>
      <c r="AC21" s="63">
        <v>10406.99</v>
      </c>
      <c r="AD21" s="63">
        <v>0</v>
      </c>
      <c r="AE21" s="63">
        <v>0</v>
      </c>
      <c r="AF21" s="63">
        <v>0</v>
      </c>
      <c r="AG21" s="63">
        <v>0</v>
      </c>
      <c r="AH21" s="461"/>
      <c r="AI21" s="49"/>
    </row>
    <row r="22" spans="1:35" s="50" customFormat="1" ht="205.5" customHeight="1" x14ac:dyDescent="0.25">
      <c r="A22" s="545" t="s">
        <v>51</v>
      </c>
      <c r="B22" s="527" t="s">
        <v>334</v>
      </c>
      <c r="C22" s="57" t="s">
        <v>20</v>
      </c>
      <c r="D22" s="58">
        <f>SUM(J22,L22,N22,P22,R22,T22,V22,X22,Z22,AB22,AD22,AF22)</f>
        <v>15000</v>
      </c>
      <c r="E22" s="58">
        <f>E23</f>
        <v>12250</v>
      </c>
      <c r="F22" s="58">
        <f t="shared" ref="F22" si="45">F23</f>
        <v>12250</v>
      </c>
      <c r="G22" s="58">
        <f>G23</f>
        <v>12250</v>
      </c>
      <c r="H22" s="58">
        <f t="shared" si="39"/>
        <v>81.666666666666671</v>
      </c>
      <c r="I22" s="58">
        <f t="shared" si="40"/>
        <v>100</v>
      </c>
      <c r="J22" s="59">
        <f>J23</f>
        <v>0</v>
      </c>
      <c r="K22" s="59">
        <f t="shared" ref="K22:AG22" si="46">K23</f>
        <v>0</v>
      </c>
      <c r="L22" s="59">
        <f t="shared" si="46"/>
        <v>0</v>
      </c>
      <c r="M22" s="59">
        <f t="shared" si="46"/>
        <v>0</v>
      </c>
      <c r="N22" s="59">
        <f t="shared" si="46"/>
        <v>0</v>
      </c>
      <c r="O22" s="59">
        <f t="shared" si="46"/>
        <v>0</v>
      </c>
      <c r="P22" s="59">
        <f t="shared" si="46"/>
        <v>6550</v>
      </c>
      <c r="Q22" s="59">
        <v>3800</v>
      </c>
      <c r="R22" s="59">
        <f t="shared" si="46"/>
        <v>0</v>
      </c>
      <c r="S22" s="59">
        <f t="shared" si="46"/>
        <v>0</v>
      </c>
      <c r="T22" s="59">
        <f t="shared" si="46"/>
        <v>2700</v>
      </c>
      <c r="U22" s="59">
        <v>2700</v>
      </c>
      <c r="V22" s="59">
        <f t="shared" si="46"/>
        <v>3000</v>
      </c>
      <c r="W22" s="59">
        <f t="shared" si="46"/>
        <v>3000</v>
      </c>
      <c r="X22" s="59">
        <f t="shared" si="46"/>
        <v>0</v>
      </c>
      <c r="Y22" s="59">
        <f t="shared" si="46"/>
        <v>0</v>
      </c>
      <c r="Z22" s="59">
        <f t="shared" si="46"/>
        <v>0</v>
      </c>
      <c r="AA22" s="59">
        <f t="shared" si="46"/>
        <v>2750</v>
      </c>
      <c r="AB22" s="59">
        <f t="shared" si="46"/>
        <v>0</v>
      </c>
      <c r="AC22" s="59">
        <f t="shared" si="46"/>
        <v>0</v>
      </c>
      <c r="AD22" s="59">
        <f t="shared" si="46"/>
        <v>0</v>
      </c>
      <c r="AE22" s="59">
        <f t="shared" si="46"/>
        <v>0</v>
      </c>
      <c r="AF22" s="59">
        <f t="shared" si="46"/>
        <v>2750</v>
      </c>
      <c r="AG22" s="59">
        <f t="shared" si="46"/>
        <v>0</v>
      </c>
      <c r="AH22" s="144" t="s">
        <v>409</v>
      </c>
      <c r="AI22" s="49"/>
    </row>
    <row r="23" spans="1:35" s="50" customFormat="1" ht="31.5" x14ac:dyDescent="0.25">
      <c r="A23" s="594"/>
      <c r="B23" s="529"/>
      <c r="C23" s="466" t="s">
        <v>21</v>
      </c>
      <c r="D23" s="62">
        <f>SUM(J23,L23,N23,P23,R23,T23,V23,X23,Z23,AB23,AD23,AF23)</f>
        <v>15000</v>
      </c>
      <c r="E23" s="62">
        <f>J23+L23+N23+P23+R23+T23+V23+X23+Z23+AB23</f>
        <v>12250</v>
      </c>
      <c r="F23" s="62">
        <f>G23</f>
        <v>12250</v>
      </c>
      <c r="G23" s="62">
        <f>SUM(K23,M23,O23,Q23,S23,U23,W23,Y23,AA23,AC23,AE23,AG23)</f>
        <v>12250</v>
      </c>
      <c r="H23" s="62">
        <f t="shared" si="39"/>
        <v>81.666666666666671</v>
      </c>
      <c r="I23" s="62">
        <f t="shared" si="40"/>
        <v>100</v>
      </c>
      <c r="J23" s="63">
        <v>0</v>
      </c>
      <c r="K23" s="63">
        <v>0</v>
      </c>
      <c r="L23" s="63">
        <v>0</v>
      </c>
      <c r="M23" s="63">
        <v>0</v>
      </c>
      <c r="N23" s="63">
        <v>0</v>
      </c>
      <c r="O23" s="63">
        <v>0</v>
      </c>
      <c r="P23" s="63">
        <v>6550</v>
      </c>
      <c r="Q23" s="63">
        <v>3800</v>
      </c>
      <c r="R23" s="63">
        <v>0</v>
      </c>
      <c r="S23" s="63">
        <v>0</v>
      </c>
      <c r="T23" s="63">
        <v>2700</v>
      </c>
      <c r="U23" s="63">
        <v>2700</v>
      </c>
      <c r="V23" s="63">
        <v>3000</v>
      </c>
      <c r="W23" s="63">
        <v>3000</v>
      </c>
      <c r="X23" s="63">
        <v>0</v>
      </c>
      <c r="Y23" s="63">
        <v>0</v>
      </c>
      <c r="Z23" s="63">
        <v>0</v>
      </c>
      <c r="AA23" s="63">
        <v>2750</v>
      </c>
      <c r="AB23" s="63">
        <v>0</v>
      </c>
      <c r="AC23" s="63">
        <v>0</v>
      </c>
      <c r="AD23" s="63">
        <v>0</v>
      </c>
      <c r="AE23" s="63">
        <v>0</v>
      </c>
      <c r="AF23" s="63">
        <v>2750</v>
      </c>
      <c r="AG23" s="63">
        <v>0</v>
      </c>
      <c r="AH23" s="461"/>
      <c r="AI23" s="49"/>
    </row>
    <row r="24" spans="1:35" s="80" customFormat="1" x14ac:dyDescent="0.25">
      <c r="A24" s="78"/>
      <c r="B24" s="585" t="s">
        <v>54</v>
      </c>
      <c r="C24" s="586"/>
      <c r="D24" s="586"/>
      <c r="E24" s="586"/>
      <c r="F24" s="586"/>
      <c r="G24" s="586"/>
      <c r="H24" s="586"/>
      <c r="I24" s="586"/>
      <c r="J24" s="586"/>
      <c r="K24" s="586"/>
      <c r="L24" s="586"/>
      <c r="M24" s="586"/>
      <c r="N24" s="586"/>
      <c r="O24" s="586"/>
      <c r="P24" s="586"/>
      <c r="Q24" s="586"/>
      <c r="R24" s="586"/>
      <c r="S24" s="586"/>
      <c r="T24" s="586"/>
      <c r="U24" s="586"/>
      <c r="V24" s="586"/>
      <c r="W24" s="586"/>
      <c r="X24" s="586"/>
      <c r="Y24" s="586"/>
      <c r="Z24" s="586"/>
      <c r="AA24" s="586"/>
      <c r="AB24" s="586"/>
      <c r="AC24" s="586"/>
      <c r="AD24" s="586"/>
      <c r="AE24" s="586"/>
      <c r="AF24" s="586"/>
      <c r="AG24" s="587"/>
      <c r="AH24" s="52"/>
      <c r="AI24" s="79"/>
    </row>
    <row r="25" spans="1:35" s="42" customFormat="1" x14ac:dyDescent="0.25">
      <c r="A25" s="588" t="s">
        <v>55</v>
      </c>
      <c r="B25" s="591" t="s">
        <v>56</v>
      </c>
      <c r="C25" s="81" t="s">
        <v>20</v>
      </c>
      <c r="D25" s="82">
        <f>D26+D27</f>
        <v>0</v>
      </c>
      <c r="E25" s="82">
        <f t="shared" ref="E25:G25" si="47">E26+E27</f>
        <v>0</v>
      </c>
      <c r="F25" s="82">
        <f t="shared" si="47"/>
        <v>0</v>
      </c>
      <c r="G25" s="82">
        <f t="shared" si="47"/>
        <v>0</v>
      </c>
      <c r="H25" s="82">
        <f>IFERROR(G25/D25*100,0)</f>
        <v>0</v>
      </c>
      <c r="I25" s="82">
        <f>IFERROR(G25/E25*100,0)</f>
        <v>0</v>
      </c>
      <c r="J25" s="83">
        <f t="shared" ref="J25:AG25" si="48">SUM(J27:J27)</f>
        <v>0</v>
      </c>
      <c r="K25" s="83">
        <f t="shared" si="48"/>
        <v>0</v>
      </c>
      <c r="L25" s="83">
        <f t="shared" si="48"/>
        <v>0</v>
      </c>
      <c r="M25" s="83">
        <f t="shared" si="48"/>
        <v>0</v>
      </c>
      <c r="N25" s="83">
        <f t="shared" si="48"/>
        <v>0</v>
      </c>
      <c r="O25" s="83">
        <f t="shared" si="48"/>
        <v>0</v>
      </c>
      <c r="P25" s="83">
        <f t="shared" si="48"/>
        <v>0</v>
      </c>
      <c r="Q25" s="83">
        <f t="shared" si="48"/>
        <v>0</v>
      </c>
      <c r="R25" s="83">
        <f t="shared" si="48"/>
        <v>0</v>
      </c>
      <c r="S25" s="83">
        <f t="shared" si="48"/>
        <v>0</v>
      </c>
      <c r="T25" s="83">
        <f t="shared" si="48"/>
        <v>0</v>
      </c>
      <c r="U25" s="83">
        <f t="shared" si="48"/>
        <v>0</v>
      </c>
      <c r="V25" s="83">
        <f t="shared" si="48"/>
        <v>0</v>
      </c>
      <c r="W25" s="83">
        <f t="shared" si="48"/>
        <v>0</v>
      </c>
      <c r="X25" s="83">
        <f t="shared" si="48"/>
        <v>0</v>
      </c>
      <c r="Y25" s="83">
        <f t="shared" si="48"/>
        <v>0</v>
      </c>
      <c r="Z25" s="83">
        <f t="shared" si="48"/>
        <v>0</v>
      </c>
      <c r="AA25" s="83">
        <f t="shared" si="48"/>
        <v>0</v>
      </c>
      <c r="AB25" s="83">
        <f t="shared" si="48"/>
        <v>0</v>
      </c>
      <c r="AC25" s="83">
        <f t="shared" si="48"/>
        <v>0</v>
      </c>
      <c r="AD25" s="83">
        <f t="shared" si="48"/>
        <v>0</v>
      </c>
      <c r="AE25" s="83">
        <f t="shared" si="48"/>
        <v>0</v>
      </c>
      <c r="AF25" s="83">
        <f t="shared" si="48"/>
        <v>0</v>
      </c>
      <c r="AG25" s="83">
        <f t="shared" si="48"/>
        <v>0</v>
      </c>
      <c r="AH25" s="84"/>
      <c r="AI25" s="51"/>
    </row>
    <row r="26" spans="1:35" s="44" customFormat="1" ht="47.25" x14ac:dyDescent="0.25">
      <c r="A26" s="589"/>
      <c r="B26" s="592"/>
      <c r="C26" s="65" t="s">
        <v>22</v>
      </c>
      <c r="D26" s="85">
        <f>SUM(J26,L26,N26,P26,R26,T26,V26,X26,Z26,AB26,AD26,AF26)</f>
        <v>0</v>
      </c>
      <c r="E26" s="85">
        <f>J26</f>
        <v>0</v>
      </c>
      <c r="F26" s="85">
        <f>G26</f>
        <v>0</v>
      </c>
      <c r="G26" s="85">
        <f>SUM(K26,M26,O26,Q26,S26,U26,W26,Y26,AA26,AC26,AE26,AG26)</f>
        <v>0</v>
      </c>
      <c r="H26" s="85">
        <f>IFERROR(G26/D26*100,0)</f>
        <v>0</v>
      </c>
      <c r="I26" s="85">
        <f>IFERROR(G26/E26*100,0)</f>
        <v>0</v>
      </c>
      <c r="J26" s="86">
        <v>0</v>
      </c>
      <c r="K26" s="86">
        <v>0</v>
      </c>
      <c r="L26" s="86">
        <v>0</v>
      </c>
      <c r="M26" s="86">
        <v>0</v>
      </c>
      <c r="N26" s="86">
        <v>0</v>
      </c>
      <c r="O26" s="86">
        <v>0</v>
      </c>
      <c r="P26" s="86">
        <v>0</v>
      </c>
      <c r="Q26" s="86">
        <v>0</v>
      </c>
      <c r="R26" s="86">
        <v>0</v>
      </c>
      <c r="S26" s="86">
        <v>0</v>
      </c>
      <c r="T26" s="86">
        <v>0</v>
      </c>
      <c r="U26" s="86">
        <v>0</v>
      </c>
      <c r="V26" s="86">
        <v>0</v>
      </c>
      <c r="W26" s="86">
        <v>0</v>
      </c>
      <c r="X26" s="86">
        <v>0</v>
      </c>
      <c r="Y26" s="86">
        <v>0</v>
      </c>
      <c r="Z26" s="86">
        <v>0</v>
      </c>
      <c r="AA26" s="86">
        <v>0</v>
      </c>
      <c r="AB26" s="86">
        <v>0</v>
      </c>
      <c r="AC26" s="86">
        <v>0</v>
      </c>
      <c r="AD26" s="86">
        <v>0</v>
      </c>
      <c r="AE26" s="86">
        <v>0</v>
      </c>
      <c r="AF26" s="86">
        <v>0</v>
      </c>
      <c r="AG26" s="86">
        <v>0</v>
      </c>
      <c r="AH26" s="87"/>
      <c r="AI26" s="51"/>
    </row>
    <row r="27" spans="1:35" s="44" customFormat="1" ht="31.5" x14ac:dyDescent="0.25">
      <c r="A27" s="590"/>
      <c r="B27" s="593"/>
      <c r="C27" s="65" t="s">
        <v>21</v>
      </c>
      <c r="D27" s="85">
        <f>SUM(J27,L27,N27,P27,R27,T27,V27,X27,Z27,AB27,AD27,AF27)</f>
        <v>0</v>
      </c>
      <c r="E27" s="85">
        <f>J27</f>
        <v>0</v>
      </c>
      <c r="F27" s="85">
        <f>G27</f>
        <v>0</v>
      </c>
      <c r="G27" s="85">
        <f>SUM(K27,M27,O27,Q27,S27,U27,W27,Y27,AA27,AC27,AE27,AG27)</f>
        <v>0</v>
      </c>
      <c r="H27" s="85">
        <f>IFERROR(G27/D27*100,0)</f>
        <v>0</v>
      </c>
      <c r="I27" s="85">
        <f>IFERROR(G27/E27*100,0)</f>
        <v>0</v>
      </c>
      <c r="J27" s="86">
        <v>0</v>
      </c>
      <c r="K27" s="86">
        <v>0</v>
      </c>
      <c r="L27" s="86">
        <v>0</v>
      </c>
      <c r="M27" s="86">
        <v>0</v>
      </c>
      <c r="N27" s="86">
        <v>0</v>
      </c>
      <c r="O27" s="86">
        <v>0</v>
      </c>
      <c r="P27" s="86">
        <v>0</v>
      </c>
      <c r="Q27" s="86">
        <v>0</v>
      </c>
      <c r="R27" s="86">
        <v>0</v>
      </c>
      <c r="S27" s="86">
        <v>0</v>
      </c>
      <c r="T27" s="86">
        <v>0</v>
      </c>
      <c r="U27" s="86">
        <v>0</v>
      </c>
      <c r="V27" s="86">
        <v>0</v>
      </c>
      <c r="W27" s="86">
        <v>0</v>
      </c>
      <c r="X27" s="86">
        <v>0</v>
      </c>
      <c r="Y27" s="86">
        <v>0</v>
      </c>
      <c r="Z27" s="86">
        <v>0</v>
      </c>
      <c r="AA27" s="86">
        <v>0</v>
      </c>
      <c r="AB27" s="86">
        <v>0</v>
      </c>
      <c r="AC27" s="86">
        <v>0</v>
      </c>
      <c r="AD27" s="86">
        <v>0</v>
      </c>
      <c r="AE27" s="86">
        <v>0</v>
      </c>
      <c r="AF27" s="86">
        <v>0</v>
      </c>
      <c r="AG27" s="86">
        <v>0</v>
      </c>
      <c r="AH27" s="87"/>
      <c r="AI27" s="51"/>
    </row>
  </sheetData>
  <customSheetViews>
    <customSheetView guid="{133BB3F8-8DD4-4AEF-8CD6-A5FB14681329}" scale="80" state="hidden">
      <pane xSplit="6" ySplit="7" topLeftCell="G11" activePane="bottomRight" state="frozen"/>
      <selection pane="bottomRight" activeCell="Q19" sqref="Q19"/>
      <pageMargins left="0.7" right="0.7" top="0.75" bottom="0.75" header="0.3" footer="0.3"/>
      <pageSetup paperSize="9" orientation="portrait" r:id="rId1"/>
    </customSheetView>
    <customSheetView guid="{7C5A2A36-3D69-43D9-9018-A52C27EC78F9}" scale="80">
      <pane xSplit="6" ySplit="7" topLeftCell="G11" activePane="bottomRight" state="frozen"/>
      <selection pane="bottomRight" activeCell="C3" sqref="C3:S3"/>
      <pageMargins left="0.7" right="0.7" top="0.75" bottom="0.75" header="0.3" footer="0.3"/>
      <pageSetup paperSize="9" orientation="portrait" r:id="rId2"/>
    </customSheetView>
    <customSheetView guid="{2A5A11D4-90C6-4A3E-8165-7D7BD634B22F}" scale="80">
      <pane xSplit="6" ySplit="7" topLeftCell="G11" activePane="bottomRight" state="frozen"/>
      <selection pane="bottomRight" activeCell="C3" sqref="C3:S3"/>
      <pageMargins left="0.7" right="0.7" top="0.75" bottom="0.75" header="0.3" footer="0.3"/>
      <pageSetup paperSize="9" orientation="portrait" r:id="rId3"/>
    </customSheetView>
    <customSheetView guid="{996EC2F0-F6EC-4E63-A83E-34865157BD8D}" scale="80">
      <pane xSplit="6" ySplit="7" topLeftCell="G11" activePane="bottomRight" state="frozen"/>
      <selection pane="bottomRight" activeCell="C3" sqref="C3:S3"/>
      <pageMargins left="0.7" right="0.7" top="0.75" bottom="0.75" header="0.3" footer="0.3"/>
      <pageSetup paperSize="9" orientation="portrait" r:id="rId4"/>
    </customSheetView>
    <customSheetView guid="{AB9978E4-895D-4050-8F07-2484E22632D1}" scale="80">
      <pane xSplit="6" ySplit="7" topLeftCell="G8" activePane="bottomRight" state="frozen"/>
      <selection pane="bottomRight" activeCell="C3" sqref="C3:S3"/>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C3" sqref="C3:S3"/>
      <pageMargins left="0.7" right="0.7" top="0.75" bottom="0.75" header="0.3" footer="0.3"/>
      <pageSetup paperSize="9" orientation="portrait" r:id="rId6"/>
    </customSheetView>
    <customSheetView guid="{2940A182-D1A7-43C5-8D6E-965BED4371B0}" scale="80">
      <pane xSplit="6" ySplit="7" topLeftCell="G11" activePane="bottomRight" state="frozen"/>
      <selection pane="bottomRight" activeCell="C3" sqref="C3:S3"/>
      <pageMargins left="0.7" right="0.7" top="0.75" bottom="0.75" header="0.3" footer="0.3"/>
      <pageSetup paperSize="9" orientation="portrait" r:id="rId7"/>
    </customSheetView>
    <customSheetView guid="{A0E2FBF6-E560-4343-8BE6-217DC798135B}" scale="80">
      <pane xSplit="6" ySplit="7" topLeftCell="G11" activePane="bottomRight" state="frozen"/>
      <selection pane="bottomRight" activeCell="C3" sqref="C3:S3"/>
      <pageMargins left="0.7" right="0.7" top="0.75" bottom="0.75" header="0.3" footer="0.3"/>
      <pageSetup paperSize="9" orientation="portrait" r:id="rId8"/>
    </customSheetView>
    <customSheetView guid="{BBF6B43F-E0FC-43DF-B91C-674F6AB4B556}" scale="80">
      <pane xSplit="6" ySplit="7" topLeftCell="G11" activePane="bottomRight" state="frozen"/>
      <selection pane="bottomRight" activeCell="C3" sqref="C3:S3"/>
      <pageMargins left="0.7" right="0.7" top="0.75" bottom="0.75" header="0.3" footer="0.3"/>
      <pageSetup paperSize="9" orientation="portrait" r:id="rId9"/>
    </customSheetView>
    <customSheetView guid="{C68436F4-AFB3-4D1D-A7C4-56D0C677D68E}" scale="80">
      <pane xSplit="6" ySplit="7" topLeftCell="G11" activePane="bottomRight" state="frozen"/>
      <selection pane="bottomRight" activeCell="C3" sqref="C3:S3"/>
      <pageMargins left="0.7" right="0.7" top="0.75" bottom="0.75" header="0.3" footer="0.3"/>
      <pageSetup paperSize="9" orientation="portrait" r:id="rId10"/>
    </customSheetView>
    <customSheetView guid="{DAEDC989-02E7-4319-8354-59410ACF3F1F}" scale="80">
      <pane xSplit="6" ySplit="7" topLeftCell="G8" activePane="bottomRight" state="frozen"/>
      <selection pane="bottomRight" activeCell="B12" sqref="B12:AG12"/>
      <pageMargins left="0.7" right="0.7" top="0.75" bottom="0.75" header="0.3" footer="0.3"/>
      <pageSetup paperSize="9" orientation="portrait" r:id="rId11"/>
    </customSheetView>
    <customSheetView guid="{519948E4-0B24-465F-9D9E-44BE50D1D647}" scale="80">
      <pane xSplit="6" ySplit="7" topLeftCell="G11" activePane="bottomRight" state="frozen"/>
      <selection pane="bottomRight" activeCell="C3" sqref="C3:S3"/>
      <pageMargins left="0.7" right="0.7" top="0.75" bottom="0.75" header="0.3" footer="0.3"/>
      <pageSetup paperSize="9" orientation="portrait" r:id="rId12"/>
    </customSheetView>
    <customSheetView guid="{C7DC638A-7F60-46C9-A1FB-9ADEAE87F332}" scale="80">
      <pane xSplit="6" ySplit="7" topLeftCell="G11" activePane="bottomRight" state="frozen"/>
      <selection pane="bottomRight" activeCell="C3" sqref="C3:S3"/>
      <pageMargins left="0.7" right="0.7" top="0.75" bottom="0.75" header="0.3" footer="0.3"/>
      <pageSetup paperSize="9" orientation="portrait" r:id="rId13"/>
    </customSheetView>
    <customSheetView guid="{C01DC081-B312-4391-B775-A8CE76216D71}" scale="80">
      <pane xSplit="6" ySplit="7" topLeftCell="G11" activePane="bottomRight" state="frozen"/>
      <selection pane="bottomRight" activeCell="C3" sqref="C3:S3"/>
      <pageMargins left="0.7" right="0.7" top="0.75" bottom="0.75" header="0.3" footer="0.3"/>
      <pageSetup paperSize="9" orientation="portrait" r:id="rId14"/>
    </customSheetView>
    <customSheetView guid="{562453CE-35F5-40A3-AD14-6399D1197C99}" scale="80">
      <pane xSplit="6" ySplit="7" topLeftCell="G8" activePane="bottomRight" state="frozen"/>
      <selection pane="bottomRight" activeCell="B12" sqref="B12:AG12"/>
      <pageMargins left="0.7" right="0.7" top="0.75" bottom="0.75" header="0.3" footer="0.3"/>
      <pageSetup paperSize="9" orientation="portrait" r:id="rId15"/>
    </customSheetView>
    <customSheetView guid="{A7640BE7-6438-4196-9A67-AF5B992A1E70}" scale="80">
      <pane xSplit="6" ySplit="7" topLeftCell="G8" activePane="bottomRight" state="frozen"/>
      <selection pane="bottomRight" activeCell="C3" sqref="C3:S3"/>
      <pageMargins left="0.7" right="0.7" top="0.75" bottom="0.75" header="0.3" footer="0.3"/>
      <pageSetup paperSize="9" orientation="portrait" r:id="rId16"/>
    </customSheetView>
    <customSheetView guid="{30B635D9-57DB-47D5-8A0F-4B30DD769960}" scale="80">
      <pane xSplit="6" ySplit="7" topLeftCell="G11" activePane="bottomRight" state="frozen"/>
      <selection pane="bottomRight" activeCell="C3" sqref="C3:S3"/>
      <pageMargins left="0.7" right="0.7" top="0.75" bottom="0.75" header="0.3" footer="0.3"/>
      <pageSetup paperSize="9" orientation="portrait" r:id="rId17"/>
    </customSheetView>
    <customSheetView guid="{20A05A62-CBE8-4538-BBC3-2AD9D3B8FAC0}" scale="80">
      <pane xSplit="6" ySplit="7" topLeftCell="G11" activePane="bottomRight" state="frozen"/>
      <selection pane="bottomRight" activeCell="C3" sqref="C3:S3"/>
      <pageMargins left="0.7" right="0.7" top="0.75" bottom="0.75" header="0.3" footer="0.3"/>
      <pageSetup paperSize="9" orientation="portrait" r:id="rId18"/>
    </customSheetView>
    <customSheetView guid="{C282AA4E-1BB5-4296-9AC6-844C0F88E5FC}" scale="80">
      <pane xSplit="6" ySplit="7" topLeftCell="G11" activePane="bottomRight" state="frozen"/>
      <selection pane="bottomRight" activeCell="C3" sqref="C3:S3"/>
      <pageMargins left="0.7" right="0.7" top="0.75" bottom="0.75" header="0.3" footer="0.3"/>
      <pageSetup paperSize="9" orientation="portrait" r:id="rId19"/>
    </customSheetView>
    <customSheetView guid="{4E221C17-6DAB-4FFA-B18C-35D4D85AF6E8}" scale="80">
      <pane xSplit="6" ySplit="7" topLeftCell="G11" activePane="bottomRight" state="frozen"/>
      <selection pane="bottomRight" activeCell="C3" sqref="C3:S3"/>
      <pageMargins left="0.7" right="0.7" top="0.75" bottom="0.75" header="0.3" footer="0.3"/>
      <pageSetup paperSize="9" orientation="portrait" r:id="rId20"/>
    </customSheetView>
    <customSheetView guid="{AFADB96A-0516-43C1-9F1B-0604F3CAC04A}" scale="80">
      <pane xSplit="6" ySplit="7" topLeftCell="G11" activePane="bottomRight" state="frozen"/>
      <selection pane="bottomRight" activeCell="C3" sqref="C3:S3"/>
      <pageMargins left="0.7" right="0.7" top="0.75" bottom="0.75" header="0.3" footer="0.3"/>
      <pageSetup paperSize="9" orientation="portrait" r:id="rId21"/>
    </customSheetView>
    <customSheetView guid="{F528EF6A-C113-49B5-B25F-D660F898CBFB}" scale="80">
      <pane xSplit="6" ySplit="7" topLeftCell="G11" activePane="bottomRight" state="frozen"/>
      <selection pane="bottomRight" activeCell="C3" sqref="C3:S3"/>
      <pageMargins left="0.7" right="0.7" top="0.75" bottom="0.75" header="0.3" footer="0.3"/>
      <pageSetup paperSize="9" orientation="portrait" r:id="rId22"/>
    </customSheetView>
    <customSheetView guid="{B6B60ED6-A6CC-4DA7-A8CA-5E6DB52D5A87}" scale="80">
      <pane xSplit="6" ySplit="7" topLeftCell="V16" activePane="bottomRight" state="frozen"/>
      <selection pane="bottomRight" activeCell="AB18" sqref="AB18:AC19"/>
      <pageMargins left="0.7" right="0.7" top="0.75" bottom="0.75" header="0.3" footer="0.3"/>
      <pageSetup paperSize="9" orientation="portrait" r:id="rId23"/>
    </customSheetView>
    <customSheetView guid="{A4AF2100-C59D-4F60-9EAB-56D9103463F7}" scale="80">
      <pane xSplit="6" ySplit="7" topLeftCell="G11" activePane="bottomRight" state="frozen"/>
      <selection pane="bottomRight" activeCell="C3" sqref="C3:S3"/>
      <pageMargins left="0.7" right="0.7" top="0.75" bottom="0.75" header="0.3" footer="0.3"/>
      <pageSetup paperSize="9" orientation="portrait" r:id="rId24"/>
    </customSheetView>
    <customSheetView guid="{EA46B61D-849C-4795-A4FF-F8F1740022EB}" scale="80">
      <pane xSplit="6" ySplit="7" topLeftCell="G11" activePane="bottomRight" state="frozen"/>
      <selection pane="bottomRight" activeCell="C3" sqref="C3:S3"/>
      <pageMargins left="0.7" right="0.7" top="0.75" bottom="0.75" header="0.3" footer="0.3"/>
      <pageSetup paperSize="9" orientation="portrait" r:id="rId25"/>
    </customSheetView>
    <customSheetView guid="{B686A221-D885-4536-BEAC-E7F4BBC02150}" scale="80">
      <pane xSplit="6" ySplit="7" topLeftCell="V18" activePane="bottomRight" state="frozen"/>
      <selection pane="bottomRight" activeCell="AH14" sqref="AH14:AH16"/>
      <pageMargins left="0.7" right="0.7" top="0.75" bottom="0.75" header="0.3" footer="0.3"/>
      <pageSetup paperSize="9" orientation="portrait" r:id="rId26"/>
    </customSheetView>
    <customSheetView guid="{60A1F930-4BEC-460A-8E14-01E47F6DD055}" scale="80">
      <pane xSplit="6" ySplit="4" topLeftCell="G11" activePane="bottomRight" state="frozen"/>
      <selection pane="bottomRight" activeCell="C3" sqref="C3:S3"/>
      <pageMargins left="0.7" right="0.7" top="0.75" bottom="0.75" header="0.3" footer="0.3"/>
      <pageSetup paperSize="9" orientation="portrait" r:id="rId27"/>
    </customSheetView>
    <customSheetView guid="{5DF2C78B-5EE4-439D-8D72-8D3A913B65F9}" scale="80">
      <pane xSplit="6" ySplit="7" topLeftCell="G11" activePane="bottomRight" state="frozen"/>
      <selection pane="bottomRight" activeCell="C3" sqref="C3:S3"/>
      <pageMargins left="0.7" right="0.7" top="0.75" bottom="0.75" header="0.3" footer="0.3"/>
      <pageSetup paperSize="9" orientation="portrait" r:id="rId28"/>
    </customSheetView>
  </customSheetViews>
  <mergeCells count="35">
    <mergeCell ref="B24:AG24"/>
    <mergeCell ref="A25:A27"/>
    <mergeCell ref="B25:B27"/>
    <mergeCell ref="A20:A21"/>
    <mergeCell ref="B20:B21"/>
    <mergeCell ref="A22:A23"/>
    <mergeCell ref="B22:B23"/>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9"/>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0"/>
  <sheetViews>
    <sheetView zoomScale="80" zoomScaleNormal="75" workbookViewId="0">
      <pane xSplit="6" ySplit="7" topLeftCell="G8" activePane="bottomRight" state="frozen"/>
      <selection pane="topRight" activeCell="G1" sqref="G1"/>
      <selection pane="bottomLeft" activeCell="A8" sqref="A8"/>
      <selection pane="bottomRight" activeCell="Q19" sqref="Q19"/>
    </sheetView>
  </sheetViews>
  <sheetFormatPr defaultColWidth="9.140625" defaultRowHeight="15" x14ac:dyDescent="0.25"/>
  <cols>
    <col min="1" max="1" width="6.5703125" style="8" customWidth="1"/>
    <col min="2" max="2" width="34.5703125" style="8" customWidth="1"/>
    <col min="3" max="3" width="20.85546875" style="9" customWidth="1"/>
    <col min="4" max="4" width="14.140625" style="130" customWidth="1"/>
    <col min="5" max="5" width="12.4257812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855468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130"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92.710937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387"/>
      <c r="V1" s="14"/>
      <c r="W1" s="14"/>
      <c r="X1" s="14"/>
      <c r="Y1" s="14"/>
      <c r="Z1" s="14"/>
      <c r="AA1" s="14"/>
      <c r="AB1" s="14"/>
      <c r="AC1" s="14"/>
      <c r="AD1" s="15"/>
      <c r="AE1" s="15"/>
      <c r="AF1" s="15"/>
      <c r="AG1" s="4"/>
      <c r="AH1" s="16"/>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146"/>
      <c r="V2" s="35"/>
      <c r="W2" s="35"/>
      <c r="X2" s="35"/>
      <c r="Y2" s="35"/>
      <c r="Z2" s="35"/>
      <c r="AA2" s="35"/>
      <c r="AB2" s="35"/>
      <c r="AC2" s="35"/>
      <c r="AD2" s="35"/>
      <c r="AE2" s="35"/>
      <c r="AF2" s="35"/>
      <c r="AG2" s="35"/>
      <c r="AH2" s="35"/>
    </row>
    <row r="3" spans="1:35" s="10" customFormat="1" ht="27" customHeight="1" x14ac:dyDescent="0.25">
      <c r="A3" s="55"/>
      <c r="B3" s="55"/>
      <c r="C3" s="513" t="s">
        <v>112</v>
      </c>
      <c r="D3" s="513"/>
      <c r="E3" s="513"/>
      <c r="F3" s="513"/>
      <c r="G3" s="513"/>
      <c r="H3" s="513"/>
      <c r="I3" s="513"/>
      <c r="J3" s="513"/>
      <c r="K3" s="513"/>
      <c r="L3" s="513"/>
      <c r="M3" s="513"/>
      <c r="N3" s="513"/>
      <c r="O3" s="513"/>
      <c r="P3" s="513"/>
      <c r="Q3" s="513"/>
      <c r="R3" s="513"/>
      <c r="S3" s="513"/>
      <c r="T3" s="36"/>
      <c r="U3" s="147"/>
      <c r="V3" s="36"/>
      <c r="W3" s="36"/>
      <c r="X3" s="36"/>
      <c r="Y3" s="36"/>
      <c r="Z3" s="36"/>
      <c r="AA3" s="36"/>
      <c r="AB3" s="36"/>
      <c r="AC3" s="36"/>
      <c r="AD3" s="37"/>
      <c r="AE3" s="37"/>
      <c r="AF3" s="37"/>
      <c r="AG3" s="37" t="s">
        <v>0</v>
      </c>
      <c r="AH3" s="37"/>
    </row>
    <row r="4" spans="1:35" s="10" customFormat="1" ht="15" customHeight="1" x14ac:dyDescent="0.25">
      <c r="A4" s="514" t="s">
        <v>26</v>
      </c>
      <c r="B4" s="517" t="s">
        <v>29</v>
      </c>
      <c r="C4" s="520" t="s">
        <v>30</v>
      </c>
      <c r="D4" s="523"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21"/>
      <c r="D5" s="524"/>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22"/>
      <c r="D6" s="121">
        <v>2025</v>
      </c>
      <c r="E6" s="39">
        <v>45901</v>
      </c>
      <c r="F6" s="39">
        <v>45748</v>
      </c>
      <c r="G6" s="39">
        <v>45901</v>
      </c>
      <c r="H6" s="11" t="s">
        <v>27</v>
      </c>
      <c r="I6" s="11" t="s">
        <v>28</v>
      </c>
      <c r="J6" s="11" t="s">
        <v>18</v>
      </c>
      <c r="K6" s="11" t="s">
        <v>19</v>
      </c>
      <c r="L6" s="11" t="s">
        <v>18</v>
      </c>
      <c r="M6" s="11" t="s">
        <v>19</v>
      </c>
      <c r="N6" s="11" t="s">
        <v>18</v>
      </c>
      <c r="O6" s="11" t="s">
        <v>19</v>
      </c>
      <c r="P6" s="11" t="s">
        <v>18</v>
      </c>
      <c r="Q6" s="11" t="s">
        <v>19</v>
      </c>
      <c r="R6" s="11" t="s">
        <v>18</v>
      </c>
      <c r="S6" s="11" t="s">
        <v>19</v>
      </c>
      <c r="T6" s="11" t="s">
        <v>18</v>
      </c>
      <c r="U6" s="149"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530"/>
      <c r="B8" s="533" t="s">
        <v>23</v>
      </c>
      <c r="C8" s="123" t="s">
        <v>20</v>
      </c>
      <c r="D8" s="70">
        <f>D9+D10+D12+D11</f>
        <v>831480.45299999998</v>
      </c>
      <c r="E8" s="70">
        <f t="shared" ref="E8:G8" si="0">E9+E10+E12+E11</f>
        <v>52100.4</v>
      </c>
      <c r="F8" s="70" t="e">
        <f t="shared" si="0"/>
        <v>#REF!</v>
      </c>
      <c r="G8" s="70" t="e">
        <f t="shared" si="0"/>
        <v>#REF!</v>
      </c>
      <c r="H8" s="70">
        <f>IFERROR(G8/D8*100,0)</f>
        <v>0</v>
      </c>
      <c r="I8" s="70">
        <f>IFERROR(G8/E8*100,0)</f>
        <v>0</v>
      </c>
      <c r="J8" s="71">
        <f>J9+J10+J12+J11</f>
        <v>52100.4</v>
      </c>
      <c r="K8" s="71">
        <f t="shared" ref="K8:AG8" si="1">K9+K10+K12+K11</f>
        <v>24606.252999999993</v>
      </c>
      <c r="L8" s="71">
        <f t="shared" si="1"/>
        <v>50808.46100000001</v>
      </c>
      <c r="M8" s="71">
        <f t="shared" si="1"/>
        <v>48533.891999999993</v>
      </c>
      <c r="N8" s="71">
        <f t="shared" si="1"/>
        <v>171449.28700000001</v>
      </c>
      <c r="O8" s="71">
        <f t="shared" si="1"/>
        <v>115148.537</v>
      </c>
      <c r="P8" s="71">
        <f t="shared" si="1"/>
        <v>80421.664000000019</v>
      </c>
      <c r="Q8" s="71">
        <f t="shared" si="1"/>
        <v>60953.046000000002</v>
      </c>
      <c r="R8" s="71">
        <f t="shared" si="1"/>
        <v>68392.08</v>
      </c>
      <c r="S8" s="71">
        <f t="shared" si="1"/>
        <v>53807.662999999993</v>
      </c>
      <c r="T8" s="71">
        <f t="shared" si="1"/>
        <v>71940.735000000001</v>
      </c>
      <c r="U8" s="71">
        <f t="shared" si="1"/>
        <v>72663.585999999996</v>
      </c>
      <c r="V8" s="71">
        <f t="shared" si="1"/>
        <v>82604.211999999985</v>
      </c>
      <c r="W8" s="71">
        <f t="shared" si="1"/>
        <v>76753.530999999988</v>
      </c>
      <c r="X8" s="71">
        <f t="shared" si="1"/>
        <v>64951.572</v>
      </c>
      <c r="Y8" s="71">
        <f t="shared" si="1"/>
        <v>45559.665000000015</v>
      </c>
      <c r="Z8" s="71">
        <f t="shared" si="1"/>
        <v>49645.079000000005</v>
      </c>
      <c r="AA8" s="71">
        <f t="shared" si="1"/>
        <v>11425.767</v>
      </c>
      <c r="AB8" s="71">
        <f t="shared" si="1"/>
        <v>50442.072</v>
      </c>
      <c r="AC8" s="71" t="e">
        <f t="shared" si="1"/>
        <v>#REF!</v>
      </c>
      <c r="AD8" s="71">
        <f t="shared" si="1"/>
        <v>37365.021000000001</v>
      </c>
      <c r="AE8" s="71">
        <f t="shared" si="1"/>
        <v>0</v>
      </c>
      <c r="AF8" s="71">
        <f t="shared" si="1"/>
        <v>51359.87000000001</v>
      </c>
      <c r="AG8" s="71">
        <f t="shared" si="1"/>
        <v>0</v>
      </c>
      <c r="AH8" s="72"/>
    </row>
    <row r="9" spans="1:35" s="26" customFormat="1" ht="26.25" customHeight="1" x14ac:dyDescent="0.25">
      <c r="A9" s="531"/>
      <c r="B9" s="534"/>
      <c r="C9" s="124" t="s">
        <v>52</v>
      </c>
      <c r="D9" s="74">
        <f>J9+L9+N9+P9+R9+T9+V9+X9+Z9+AB9+AD9+AF9</f>
        <v>6734.0169999999998</v>
      </c>
      <c r="E9" s="74">
        <f>J9</f>
        <v>0</v>
      </c>
      <c r="F9" s="74">
        <f>G9</f>
        <v>4537.134</v>
      </c>
      <c r="G9" s="74">
        <f>K9+M9+O9+Q9+S9+U9+W9+Y9+AA9+AC9+AE9+AG9</f>
        <v>4537.134</v>
      </c>
      <c r="H9" s="74">
        <f t="shared" ref="H9" si="2">IFERROR(G9/D9*100,0)</f>
        <v>67.376337184773959</v>
      </c>
      <c r="I9" s="74">
        <f t="shared" ref="I9" si="3">IFERROR(G9/E9*100,0)</f>
        <v>0</v>
      </c>
      <c r="J9" s="74">
        <f>J15+J31</f>
        <v>0</v>
      </c>
      <c r="K9" s="74">
        <f t="shared" ref="K9:AG9" si="4">K15+K31</f>
        <v>0</v>
      </c>
      <c r="L9" s="74">
        <f t="shared" si="4"/>
        <v>0</v>
      </c>
      <c r="M9" s="74">
        <f t="shared" si="4"/>
        <v>0</v>
      </c>
      <c r="N9" s="74">
        <f t="shared" si="4"/>
        <v>568.322</v>
      </c>
      <c r="O9" s="74">
        <f t="shared" si="4"/>
        <v>568.32000000000005</v>
      </c>
      <c r="P9" s="74">
        <f t="shared" si="4"/>
        <v>592.41</v>
      </c>
      <c r="Q9" s="74">
        <f t="shared" si="4"/>
        <v>592.41</v>
      </c>
      <c r="R9" s="74">
        <f t="shared" si="4"/>
        <v>1298.9100000000001</v>
      </c>
      <c r="S9" s="74">
        <f t="shared" si="4"/>
        <v>1298.9100000000001</v>
      </c>
      <c r="T9" s="74">
        <f t="shared" si="4"/>
        <v>1079.29</v>
      </c>
      <c r="U9" s="74">
        <f t="shared" si="4"/>
        <v>1079.2939999999999</v>
      </c>
      <c r="V9" s="74">
        <f t="shared" si="4"/>
        <v>998.19500000000005</v>
      </c>
      <c r="W9" s="74">
        <f t="shared" si="4"/>
        <v>998.2</v>
      </c>
      <c r="X9" s="74">
        <f t="shared" si="4"/>
        <v>0</v>
      </c>
      <c r="Y9" s="74">
        <f t="shared" si="4"/>
        <v>0</v>
      </c>
      <c r="Z9" s="74">
        <f t="shared" si="4"/>
        <v>2196.89</v>
      </c>
      <c r="AA9" s="74">
        <f t="shared" si="4"/>
        <v>0</v>
      </c>
      <c r="AB9" s="74">
        <f t="shared" si="4"/>
        <v>0</v>
      </c>
      <c r="AC9" s="74">
        <f t="shared" si="4"/>
        <v>0</v>
      </c>
      <c r="AD9" s="74">
        <f t="shared" si="4"/>
        <v>0</v>
      </c>
      <c r="AE9" s="74">
        <f t="shared" si="4"/>
        <v>0</v>
      </c>
      <c r="AF9" s="74">
        <f t="shared" si="4"/>
        <v>0</v>
      </c>
      <c r="AG9" s="74">
        <f t="shared" si="4"/>
        <v>0</v>
      </c>
      <c r="AH9" s="75"/>
    </row>
    <row r="10" spans="1:35" s="26" customFormat="1" ht="40.5" customHeight="1" x14ac:dyDescent="0.25">
      <c r="A10" s="531"/>
      <c r="B10" s="534"/>
      <c r="C10" s="124" t="s">
        <v>22</v>
      </c>
      <c r="D10" s="74">
        <f t="shared" ref="D10:D12" si="5">J10+L10+N10+P10+R10+T10+V10+X10+Z10+AB10+AD10+AF10</f>
        <v>10948.086000000001</v>
      </c>
      <c r="E10" s="74">
        <f t="shared" ref="E10:E12" si="6">J10</f>
        <v>0</v>
      </c>
      <c r="F10" s="74">
        <f t="shared" ref="F10:F12" si="7">G10</f>
        <v>7345.4849999999997</v>
      </c>
      <c r="G10" s="74">
        <f t="shared" ref="G10:G12" si="8">K10+M10+O10+Q10+S10+U10+W10+Y10+AA10+AC10+AE10+AG10</f>
        <v>7345.4849999999997</v>
      </c>
      <c r="H10" s="74">
        <f>IFERROR(G10/D10*100,0)</f>
        <v>67.093782420050402</v>
      </c>
      <c r="I10" s="74">
        <f>IFERROR(G10/E10*100,0)</f>
        <v>0</v>
      </c>
      <c r="J10" s="74">
        <f t="shared" ref="J10:AG10" si="9">J16+J32+J84</f>
        <v>0</v>
      </c>
      <c r="K10" s="74">
        <f t="shared" si="9"/>
        <v>0</v>
      </c>
      <c r="L10" s="74">
        <f t="shared" si="9"/>
        <v>0</v>
      </c>
      <c r="M10" s="74">
        <f t="shared" si="9"/>
        <v>0</v>
      </c>
      <c r="N10" s="74">
        <f t="shared" si="9"/>
        <v>899.01300000000003</v>
      </c>
      <c r="O10" s="74">
        <f t="shared" si="9"/>
        <v>899.01</v>
      </c>
      <c r="P10" s="74">
        <f t="shared" si="9"/>
        <v>939.58900000000006</v>
      </c>
      <c r="Q10" s="74">
        <f t="shared" si="9"/>
        <v>939.59</v>
      </c>
      <c r="R10" s="74">
        <f t="shared" si="9"/>
        <v>2145.2820000000002</v>
      </c>
      <c r="S10" s="74">
        <f t="shared" si="9"/>
        <v>2145.2799999999997</v>
      </c>
      <c r="T10" s="74">
        <f t="shared" si="9"/>
        <v>1682.133</v>
      </c>
      <c r="U10" s="74">
        <f t="shared" si="9"/>
        <v>1682.125</v>
      </c>
      <c r="V10" s="74">
        <f t="shared" si="9"/>
        <v>1657.3789999999999</v>
      </c>
      <c r="W10" s="74">
        <f t="shared" si="9"/>
        <v>1583.3799999999999</v>
      </c>
      <c r="X10" s="74">
        <f t="shared" si="9"/>
        <v>22.1</v>
      </c>
      <c r="Y10" s="74">
        <f t="shared" si="9"/>
        <v>96.1</v>
      </c>
      <c r="Z10" s="74">
        <f t="shared" si="9"/>
        <v>3525.4500000000003</v>
      </c>
      <c r="AA10" s="74">
        <f t="shared" si="9"/>
        <v>0</v>
      </c>
      <c r="AB10" s="74">
        <f t="shared" si="9"/>
        <v>22.1</v>
      </c>
      <c r="AC10" s="74">
        <f t="shared" si="9"/>
        <v>0</v>
      </c>
      <c r="AD10" s="74">
        <f t="shared" si="9"/>
        <v>22.1</v>
      </c>
      <c r="AE10" s="74">
        <f t="shared" si="9"/>
        <v>0</v>
      </c>
      <c r="AF10" s="74">
        <f t="shared" si="9"/>
        <v>32.94</v>
      </c>
      <c r="AG10" s="74">
        <f t="shared" si="9"/>
        <v>0</v>
      </c>
      <c r="AH10" s="75"/>
    </row>
    <row r="11" spans="1:35" s="26" customFormat="1" ht="40.5" customHeight="1" x14ac:dyDescent="0.25">
      <c r="A11" s="531"/>
      <c r="B11" s="534"/>
      <c r="C11" s="124" t="s">
        <v>21</v>
      </c>
      <c r="D11" s="74">
        <f>J11+L11+N11+P11+R11+T11+V11+X11+Z11+AB11+AD11+AF11</f>
        <v>782864.196</v>
      </c>
      <c r="E11" s="74">
        <f t="shared" si="6"/>
        <v>48925.037000000004</v>
      </c>
      <c r="F11" s="74" t="e">
        <f t="shared" si="7"/>
        <v>#REF!</v>
      </c>
      <c r="G11" s="74" t="e">
        <f t="shared" si="8"/>
        <v>#REF!</v>
      </c>
      <c r="H11" s="74">
        <f>IFERROR(G11/D11*100,0)</f>
        <v>0</v>
      </c>
      <c r="I11" s="74">
        <f>IFERROR(G11/E11*100,0)</f>
        <v>0</v>
      </c>
      <c r="J11" s="74">
        <f t="shared" ref="J11:AG11" si="10">J17+J33+J35+J78+J81+J85+J96</f>
        <v>48925.037000000004</v>
      </c>
      <c r="K11" s="74">
        <f t="shared" si="10"/>
        <v>23883.041999999994</v>
      </c>
      <c r="L11" s="74">
        <f t="shared" si="10"/>
        <v>48278.301000000007</v>
      </c>
      <c r="M11" s="74">
        <f t="shared" si="10"/>
        <v>46972.899999999994</v>
      </c>
      <c r="N11" s="74">
        <f t="shared" si="10"/>
        <v>166983.13200000001</v>
      </c>
      <c r="O11" s="74">
        <f t="shared" si="10"/>
        <v>111615.34699999999</v>
      </c>
      <c r="P11" s="74">
        <f t="shared" si="10"/>
        <v>74800.20600000002</v>
      </c>
      <c r="Q11" s="74">
        <f t="shared" si="10"/>
        <v>56910.743999999999</v>
      </c>
      <c r="R11" s="74">
        <f t="shared" si="10"/>
        <v>61911.675000000003</v>
      </c>
      <c r="S11" s="74">
        <f t="shared" si="10"/>
        <v>47327.901999999995</v>
      </c>
      <c r="T11" s="74">
        <f t="shared" si="10"/>
        <v>67578.251000000004</v>
      </c>
      <c r="U11" s="74">
        <f t="shared" si="10"/>
        <v>66967.485000000001</v>
      </c>
      <c r="V11" s="74">
        <f t="shared" si="10"/>
        <v>77065.08199999998</v>
      </c>
      <c r="W11" s="74">
        <f t="shared" si="10"/>
        <v>71482.471999999994</v>
      </c>
      <c r="X11" s="74">
        <f t="shared" si="10"/>
        <v>63315.057999999997</v>
      </c>
      <c r="Y11" s="74">
        <f t="shared" si="10"/>
        <v>44655.602000000014</v>
      </c>
      <c r="Z11" s="74">
        <f t="shared" si="10"/>
        <v>41869.825000000004</v>
      </c>
      <c r="AA11" s="74">
        <f t="shared" si="10"/>
        <v>10190.243</v>
      </c>
      <c r="AB11" s="74">
        <f t="shared" si="10"/>
        <v>47803.714</v>
      </c>
      <c r="AC11" s="74" t="e">
        <f t="shared" si="10"/>
        <v>#REF!</v>
      </c>
      <c r="AD11" s="74">
        <f t="shared" si="10"/>
        <v>35133.741000000002</v>
      </c>
      <c r="AE11" s="74">
        <f t="shared" si="10"/>
        <v>0</v>
      </c>
      <c r="AF11" s="74">
        <f t="shared" si="10"/>
        <v>49200.174000000006</v>
      </c>
      <c r="AG11" s="74">
        <f t="shared" si="10"/>
        <v>0</v>
      </c>
      <c r="AH11" s="75"/>
    </row>
    <row r="12" spans="1:35" s="26" customFormat="1" ht="34.5" customHeight="1" x14ac:dyDescent="0.25">
      <c r="A12" s="532"/>
      <c r="B12" s="535"/>
      <c r="C12" s="124" t="s">
        <v>113</v>
      </c>
      <c r="D12" s="74">
        <f t="shared" si="5"/>
        <v>30934.154000000002</v>
      </c>
      <c r="E12" s="74">
        <f t="shared" si="6"/>
        <v>3175.3629999999998</v>
      </c>
      <c r="F12" s="74">
        <f t="shared" si="7"/>
        <v>19024.616999999998</v>
      </c>
      <c r="G12" s="74">
        <f t="shared" si="8"/>
        <v>19024.616999999998</v>
      </c>
      <c r="H12" s="74">
        <f>IFERROR(G12/D12*100,0)</f>
        <v>61.500362996835136</v>
      </c>
      <c r="I12" s="74">
        <f>IFERROR(G12/E12*100,0)</f>
        <v>599.13203624278549</v>
      </c>
      <c r="J12" s="74">
        <f t="shared" ref="J12:AG12" si="11">J36+J79</f>
        <v>3175.3629999999998</v>
      </c>
      <c r="K12" s="74">
        <f t="shared" si="11"/>
        <v>723.21100000000001</v>
      </c>
      <c r="L12" s="74">
        <f t="shared" si="11"/>
        <v>2530.16</v>
      </c>
      <c r="M12" s="74">
        <f t="shared" si="11"/>
        <v>1560.992</v>
      </c>
      <c r="N12" s="74">
        <f t="shared" si="11"/>
        <v>2998.82</v>
      </c>
      <c r="O12" s="74">
        <f t="shared" si="11"/>
        <v>2065.86</v>
      </c>
      <c r="P12" s="74">
        <f t="shared" si="11"/>
        <v>4089.4589999999998</v>
      </c>
      <c r="Q12" s="74">
        <f t="shared" si="11"/>
        <v>2510.3020000000001</v>
      </c>
      <c r="R12" s="74">
        <f t="shared" si="11"/>
        <v>3036.2129999999997</v>
      </c>
      <c r="S12" s="74">
        <f t="shared" si="11"/>
        <v>3035.5709999999999</v>
      </c>
      <c r="T12" s="74">
        <f t="shared" si="11"/>
        <v>1601.0609999999999</v>
      </c>
      <c r="U12" s="74">
        <f t="shared" si="11"/>
        <v>2934.6819999999998</v>
      </c>
      <c r="V12" s="74">
        <f t="shared" si="11"/>
        <v>2883.5560000000005</v>
      </c>
      <c r="W12" s="74">
        <f t="shared" si="11"/>
        <v>2689.4789999999998</v>
      </c>
      <c r="X12" s="74">
        <f t="shared" si="11"/>
        <v>1614.4139999999998</v>
      </c>
      <c r="Y12" s="74">
        <f t="shared" si="11"/>
        <v>807.96299999999997</v>
      </c>
      <c r="Z12" s="74">
        <f t="shared" si="11"/>
        <v>2052.9139999999998</v>
      </c>
      <c r="AA12" s="74">
        <f t="shared" si="11"/>
        <v>1235.5239999999999</v>
      </c>
      <c r="AB12" s="74">
        <f t="shared" si="11"/>
        <v>2616.2579999999998</v>
      </c>
      <c r="AC12" s="74">
        <f t="shared" si="11"/>
        <v>1461.0329999999999</v>
      </c>
      <c r="AD12" s="74">
        <f t="shared" si="11"/>
        <v>2209.1800000000003</v>
      </c>
      <c r="AE12" s="74">
        <f t="shared" si="11"/>
        <v>0</v>
      </c>
      <c r="AF12" s="74">
        <f t="shared" si="11"/>
        <v>2126.7559999999999</v>
      </c>
      <c r="AG12" s="74">
        <f t="shared" si="11"/>
        <v>0</v>
      </c>
      <c r="AH12" s="75"/>
    </row>
    <row r="13" spans="1:35" s="22" customFormat="1" ht="18.75" customHeight="1" x14ac:dyDescent="0.25">
      <c r="A13" s="66"/>
      <c r="B13" s="536" t="s">
        <v>114</v>
      </c>
      <c r="C13" s="537"/>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8"/>
      <c r="AH13" s="64"/>
    </row>
    <row r="14" spans="1:35" s="21" customFormat="1" ht="23.25" customHeight="1" x14ac:dyDescent="0.25">
      <c r="A14" s="539" t="s">
        <v>50</v>
      </c>
      <c r="B14" s="542" t="s">
        <v>115</v>
      </c>
      <c r="C14" s="125" t="s">
        <v>20</v>
      </c>
      <c r="D14" s="70">
        <f>D16+D17+D15</f>
        <v>735.90000000000009</v>
      </c>
      <c r="E14" s="58">
        <f t="shared" ref="E14:AG14" si="12">E16+E17+E15</f>
        <v>0</v>
      </c>
      <c r="F14" s="58">
        <f t="shared" si="12"/>
        <v>540.76900000000001</v>
      </c>
      <c r="G14" s="58">
        <f t="shared" si="12"/>
        <v>540.76900000000001</v>
      </c>
      <c r="H14" s="58">
        <f t="shared" ref="H14:H34" si="13">IFERROR(G14/D14*100,0)</f>
        <v>73.48403315667889</v>
      </c>
      <c r="I14" s="58">
        <f t="shared" ref="I14:I34" si="14">IFERROR(G14/E14*100,0)</f>
        <v>0</v>
      </c>
      <c r="J14" s="58">
        <f t="shared" si="12"/>
        <v>0</v>
      </c>
      <c r="K14" s="58">
        <f t="shared" si="12"/>
        <v>0</v>
      </c>
      <c r="L14" s="58">
        <f t="shared" si="12"/>
        <v>11.65</v>
      </c>
      <c r="M14" s="58">
        <f t="shared" si="12"/>
        <v>11.65</v>
      </c>
      <c r="N14" s="58">
        <f t="shared" si="12"/>
        <v>21.05</v>
      </c>
      <c r="O14" s="58">
        <f t="shared" si="12"/>
        <v>21.05</v>
      </c>
      <c r="P14" s="58">
        <f t="shared" si="12"/>
        <v>24.35</v>
      </c>
      <c r="Q14" s="58">
        <f t="shared" si="12"/>
        <v>21.93</v>
      </c>
      <c r="R14" s="58">
        <f t="shared" si="12"/>
        <v>138.81</v>
      </c>
      <c r="S14" s="58">
        <f t="shared" si="12"/>
        <v>138.9</v>
      </c>
      <c r="T14" s="58">
        <f t="shared" si="12"/>
        <v>298.25</v>
      </c>
      <c r="U14" s="70">
        <f t="shared" si="12"/>
        <v>298.34899999999999</v>
      </c>
      <c r="V14" s="58">
        <f t="shared" si="12"/>
        <v>24.35</v>
      </c>
      <c r="W14" s="58">
        <f t="shared" si="12"/>
        <v>24.44</v>
      </c>
      <c r="X14" s="58">
        <f t="shared" si="12"/>
        <v>24.35</v>
      </c>
      <c r="Y14" s="58">
        <f t="shared" si="12"/>
        <v>24.450000000000003</v>
      </c>
      <c r="Z14" s="58">
        <f t="shared" si="12"/>
        <v>108.35</v>
      </c>
      <c r="AA14" s="58">
        <f t="shared" si="12"/>
        <v>0</v>
      </c>
      <c r="AB14" s="58">
        <f t="shared" si="12"/>
        <v>24.35</v>
      </c>
      <c r="AC14" s="58">
        <f t="shared" si="12"/>
        <v>0</v>
      </c>
      <c r="AD14" s="58">
        <f t="shared" si="12"/>
        <v>24.35</v>
      </c>
      <c r="AE14" s="58">
        <f t="shared" si="12"/>
        <v>0</v>
      </c>
      <c r="AF14" s="58">
        <f t="shared" si="12"/>
        <v>36.04</v>
      </c>
      <c r="AG14" s="58">
        <f t="shared" si="12"/>
        <v>0</v>
      </c>
      <c r="AH14" s="60"/>
      <c r="AI14" s="23"/>
    </row>
    <row r="15" spans="1:35" s="21" customFormat="1" ht="17.25" customHeight="1" x14ac:dyDescent="0.25">
      <c r="A15" s="540"/>
      <c r="B15" s="543"/>
      <c r="C15" s="126" t="s">
        <v>52</v>
      </c>
      <c r="D15" s="74">
        <f>SUM(J15,L15,N15,P15,R15,T15,V15,X15,Z15,AB15,AD15,AF15)</f>
        <v>96.4</v>
      </c>
      <c r="E15" s="62">
        <f>J15</f>
        <v>0</v>
      </c>
      <c r="F15" s="62">
        <f>G15</f>
        <v>96.403999999999996</v>
      </c>
      <c r="G15" s="62">
        <f>SUM(K15,M15,O15,Q15,S15,U15,W15,Y15,AA15,AC15,AE15,AG15)</f>
        <v>96.403999999999996</v>
      </c>
      <c r="H15" s="62">
        <f t="shared" si="13"/>
        <v>100.00414937759334</v>
      </c>
      <c r="I15" s="62">
        <f t="shared" si="14"/>
        <v>0</v>
      </c>
      <c r="J15" s="62">
        <f>J19</f>
        <v>0</v>
      </c>
      <c r="K15" s="62">
        <f t="shared" ref="K15:AG15" si="15">K19</f>
        <v>0</v>
      </c>
      <c r="L15" s="62">
        <f t="shared" si="15"/>
        <v>0</v>
      </c>
      <c r="M15" s="62">
        <f t="shared" si="15"/>
        <v>0</v>
      </c>
      <c r="N15" s="62">
        <f t="shared" si="15"/>
        <v>0</v>
      </c>
      <c r="O15" s="62">
        <f t="shared" si="15"/>
        <v>0</v>
      </c>
      <c r="P15" s="62">
        <f t="shared" si="15"/>
        <v>0</v>
      </c>
      <c r="Q15" s="62">
        <f t="shared" si="15"/>
        <v>0</v>
      </c>
      <c r="R15" s="62">
        <f t="shared" si="15"/>
        <v>0</v>
      </c>
      <c r="S15" s="62">
        <f t="shared" si="15"/>
        <v>0</v>
      </c>
      <c r="T15" s="62">
        <f t="shared" si="15"/>
        <v>96.4</v>
      </c>
      <c r="U15" s="74">
        <f t="shared" si="15"/>
        <v>96.403999999999996</v>
      </c>
      <c r="V15" s="62">
        <f t="shared" si="15"/>
        <v>0</v>
      </c>
      <c r="W15" s="62">
        <f t="shared" si="15"/>
        <v>0</v>
      </c>
      <c r="X15" s="62">
        <f t="shared" si="15"/>
        <v>0</v>
      </c>
      <c r="Y15" s="62">
        <f t="shared" si="15"/>
        <v>0</v>
      </c>
      <c r="Z15" s="62">
        <f t="shared" si="15"/>
        <v>0</v>
      </c>
      <c r="AA15" s="62">
        <f t="shared" si="15"/>
        <v>0</v>
      </c>
      <c r="AB15" s="62">
        <f t="shared" si="15"/>
        <v>0</v>
      </c>
      <c r="AC15" s="62">
        <f t="shared" si="15"/>
        <v>0</v>
      </c>
      <c r="AD15" s="62">
        <f t="shared" si="15"/>
        <v>0</v>
      </c>
      <c r="AE15" s="62">
        <f t="shared" si="15"/>
        <v>0</v>
      </c>
      <c r="AF15" s="62">
        <f t="shared" si="15"/>
        <v>0</v>
      </c>
      <c r="AG15" s="62">
        <f t="shared" si="15"/>
        <v>0</v>
      </c>
      <c r="AH15" s="60"/>
      <c r="AI15" s="23"/>
    </row>
    <row r="16" spans="1:35" s="21" customFormat="1" ht="37.5" customHeight="1" x14ac:dyDescent="0.25">
      <c r="A16" s="540"/>
      <c r="B16" s="543"/>
      <c r="C16" s="126" t="s">
        <v>22</v>
      </c>
      <c r="D16" s="74">
        <f>SUM(J16,L16,N16,P16,R16,T16,V16,X16,Z16,AB16,AD16,AF16)</f>
        <v>492.2000000000001</v>
      </c>
      <c r="E16" s="62">
        <f>J16</f>
        <v>0</v>
      </c>
      <c r="F16" s="62">
        <f>G16</f>
        <v>325.755</v>
      </c>
      <c r="G16" s="62">
        <f>SUM(K16,M16,O16,Q16,S16,U16,W16,Y16,AA16,AC16,AE16,AG16)</f>
        <v>325.755</v>
      </c>
      <c r="H16" s="62">
        <f t="shared" si="13"/>
        <v>66.183462007314091</v>
      </c>
      <c r="I16" s="62">
        <f t="shared" si="14"/>
        <v>0</v>
      </c>
      <c r="J16" s="63">
        <f>J20+J24+J28</f>
        <v>0</v>
      </c>
      <c r="K16" s="63">
        <f t="shared" ref="K16:AG17" si="16">K20+K24+K28</f>
        <v>0</v>
      </c>
      <c r="L16" s="63">
        <f t="shared" si="16"/>
        <v>0</v>
      </c>
      <c r="M16" s="63">
        <f t="shared" si="16"/>
        <v>0</v>
      </c>
      <c r="N16" s="63">
        <f t="shared" si="16"/>
        <v>10.1</v>
      </c>
      <c r="O16" s="63">
        <f t="shared" si="16"/>
        <v>10.1</v>
      </c>
      <c r="P16" s="63">
        <f t="shared" si="16"/>
        <v>13</v>
      </c>
      <c r="Q16" s="63">
        <f t="shared" si="16"/>
        <v>13</v>
      </c>
      <c r="R16" s="63">
        <f t="shared" si="16"/>
        <v>113.66</v>
      </c>
      <c r="S16" s="63">
        <f t="shared" si="16"/>
        <v>113.66</v>
      </c>
      <c r="T16" s="63">
        <f t="shared" si="16"/>
        <v>144.80000000000001</v>
      </c>
      <c r="U16" s="67">
        <f t="shared" si="16"/>
        <v>144.79499999999999</v>
      </c>
      <c r="V16" s="63">
        <f t="shared" si="16"/>
        <v>22.1</v>
      </c>
      <c r="W16" s="63">
        <f t="shared" si="16"/>
        <v>22.1</v>
      </c>
      <c r="X16" s="63">
        <f t="shared" si="16"/>
        <v>22.1</v>
      </c>
      <c r="Y16" s="63">
        <f t="shared" si="16"/>
        <v>22.1</v>
      </c>
      <c r="Z16" s="63">
        <f t="shared" si="16"/>
        <v>89.3</v>
      </c>
      <c r="AA16" s="63">
        <f t="shared" si="16"/>
        <v>0</v>
      </c>
      <c r="AB16" s="63">
        <f t="shared" si="16"/>
        <v>22.1</v>
      </c>
      <c r="AC16" s="63">
        <f t="shared" si="16"/>
        <v>0</v>
      </c>
      <c r="AD16" s="63">
        <f t="shared" si="16"/>
        <v>22.1</v>
      </c>
      <c r="AE16" s="63">
        <f t="shared" si="16"/>
        <v>0</v>
      </c>
      <c r="AF16" s="63">
        <f t="shared" si="16"/>
        <v>32.94</v>
      </c>
      <c r="AG16" s="63">
        <f t="shared" si="16"/>
        <v>0</v>
      </c>
      <c r="AH16" s="60"/>
      <c r="AI16" s="23"/>
    </row>
    <row r="17" spans="1:35" s="22" customFormat="1" ht="33" customHeight="1" x14ac:dyDescent="0.25">
      <c r="A17" s="541"/>
      <c r="B17" s="544"/>
      <c r="C17" s="126" t="s">
        <v>21</v>
      </c>
      <c r="D17" s="74">
        <f>SUM(J17,L17,N17,P17,R17,T17,V17,X17,Z17,AB17,AD17,AF17)</f>
        <v>147.30000000000001</v>
      </c>
      <c r="E17" s="62">
        <f>J17</f>
        <v>0</v>
      </c>
      <c r="F17" s="62">
        <f>G17</f>
        <v>118.60999999999999</v>
      </c>
      <c r="G17" s="62">
        <f>SUM(K17,M17,O17,Q17,S17,U17,W17,Y17,AA17,AC17,AE17,AG17)</f>
        <v>118.60999999999999</v>
      </c>
      <c r="H17" s="62">
        <f t="shared" si="13"/>
        <v>80.522742701968752</v>
      </c>
      <c r="I17" s="62">
        <f t="shared" si="14"/>
        <v>0</v>
      </c>
      <c r="J17" s="67">
        <f>J21+J25+J29</f>
        <v>0</v>
      </c>
      <c r="K17" s="67">
        <f t="shared" si="16"/>
        <v>0</v>
      </c>
      <c r="L17" s="67">
        <f t="shared" si="16"/>
        <v>11.65</v>
      </c>
      <c r="M17" s="67">
        <f t="shared" si="16"/>
        <v>11.65</v>
      </c>
      <c r="N17" s="67">
        <f t="shared" si="16"/>
        <v>10.950000000000001</v>
      </c>
      <c r="O17" s="67">
        <f t="shared" si="16"/>
        <v>10.950000000000001</v>
      </c>
      <c r="P17" s="67">
        <f t="shared" si="16"/>
        <v>11.350000000000001</v>
      </c>
      <c r="Q17" s="67">
        <f t="shared" si="16"/>
        <v>8.93</v>
      </c>
      <c r="R17" s="67">
        <f t="shared" si="16"/>
        <v>25.15</v>
      </c>
      <c r="S17" s="67">
        <f t="shared" si="16"/>
        <v>25.24</v>
      </c>
      <c r="T17" s="67">
        <f t="shared" si="16"/>
        <v>57.05</v>
      </c>
      <c r="U17" s="67">
        <f t="shared" si="16"/>
        <v>57.149999999999991</v>
      </c>
      <c r="V17" s="67">
        <f t="shared" si="16"/>
        <v>2.25</v>
      </c>
      <c r="W17" s="67">
        <f t="shared" si="16"/>
        <v>2.34</v>
      </c>
      <c r="X17" s="67">
        <f t="shared" si="16"/>
        <v>2.25</v>
      </c>
      <c r="Y17" s="67">
        <f t="shared" si="16"/>
        <v>2.35</v>
      </c>
      <c r="Z17" s="67">
        <f t="shared" si="16"/>
        <v>19.05</v>
      </c>
      <c r="AA17" s="67">
        <f t="shared" si="16"/>
        <v>0</v>
      </c>
      <c r="AB17" s="67">
        <f t="shared" si="16"/>
        <v>2.25</v>
      </c>
      <c r="AC17" s="67">
        <f t="shared" si="16"/>
        <v>0</v>
      </c>
      <c r="AD17" s="67">
        <f t="shared" si="16"/>
        <v>2.25</v>
      </c>
      <c r="AE17" s="67">
        <f t="shared" si="16"/>
        <v>0</v>
      </c>
      <c r="AF17" s="67">
        <f t="shared" si="16"/>
        <v>3.0999999999999996</v>
      </c>
      <c r="AG17" s="67">
        <f t="shared" si="16"/>
        <v>0</v>
      </c>
      <c r="AH17" s="64"/>
      <c r="AI17" s="20"/>
    </row>
    <row r="18" spans="1:35" s="21" customFormat="1" ht="21" customHeight="1" x14ac:dyDescent="0.25">
      <c r="A18" s="539"/>
      <c r="B18" s="550" t="s">
        <v>116</v>
      </c>
      <c r="C18" s="125" t="s">
        <v>20</v>
      </c>
      <c r="D18" s="70">
        <f>D20+D21+D19</f>
        <v>273.89999999999998</v>
      </c>
      <c r="E18" s="58">
        <f t="shared" ref="E18:G18" si="17">E20+E21+E19</f>
        <v>300.2</v>
      </c>
      <c r="F18" s="58">
        <f t="shared" si="17"/>
        <v>273.899</v>
      </c>
      <c r="G18" s="58">
        <f t="shared" si="17"/>
        <v>273.899</v>
      </c>
      <c r="H18" s="58">
        <f t="shared" si="13"/>
        <v>99.999634903249373</v>
      </c>
      <c r="I18" s="58">
        <f t="shared" si="14"/>
        <v>91.238840772818136</v>
      </c>
      <c r="J18" s="58">
        <f t="shared" ref="J18:AG18" si="18">J20+J21+J19</f>
        <v>0</v>
      </c>
      <c r="K18" s="58">
        <f t="shared" si="18"/>
        <v>0</v>
      </c>
      <c r="L18" s="58">
        <f t="shared" si="18"/>
        <v>0</v>
      </c>
      <c r="M18" s="58">
        <f t="shared" si="18"/>
        <v>0</v>
      </c>
      <c r="N18" s="58">
        <f t="shared" si="18"/>
        <v>0</v>
      </c>
      <c r="O18" s="58">
        <f t="shared" si="18"/>
        <v>0</v>
      </c>
      <c r="P18" s="58">
        <f t="shared" si="18"/>
        <v>0</v>
      </c>
      <c r="Q18" s="58">
        <f t="shared" si="18"/>
        <v>0</v>
      </c>
      <c r="R18" s="58">
        <f t="shared" si="18"/>
        <v>0</v>
      </c>
      <c r="S18" s="58">
        <f t="shared" si="18"/>
        <v>0</v>
      </c>
      <c r="T18" s="58">
        <f t="shared" si="18"/>
        <v>273.89999999999998</v>
      </c>
      <c r="U18" s="70">
        <f t="shared" si="18"/>
        <v>273.899</v>
      </c>
      <c r="V18" s="58">
        <f t="shared" si="18"/>
        <v>0</v>
      </c>
      <c r="W18" s="58">
        <f t="shared" si="18"/>
        <v>0</v>
      </c>
      <c r="X18" s="58">
        <f t="shared" si="18"/>
        <v>0</v>
      </c>
      <c r="Y18" s="58">
        <f t="shared" si="18"/>
        <v>0</v>
      </c>
      <c r="Z18" s="58">
        <f t="shared" si="18"/>
        <v>0</v>
      </c>
      <c r="AA18" s="58">
        <f t="shared" si="18"/>
        <v>0</v>
      </c>
      <c r="AB18" s="58">
        <f t="shared" si="18"/>
        <v>0</v>
      </c>
      <c r="AC18" s="58">
        <f t="shared" si="18"/>
        <v>0</v>
      </c>
      <c r="AD18" s="58">
        <f t="shared" si="18"/>
        <v>0</v>
      </c>
      <c r="AE18" s="58">
        <f t="shared" si="18"/>
        <v>0</v>
      </c>
      <c r="AF18" s="58">
        <f t="shared" si="18"/>
        <v>0</v>
      </c>
      <c r="AG18" s="58">
        <f t="shared" si="18"/>
        <v>0</v>
      </c>
      <c r="AH18" s="60"/>
      <c r="AI18" s="23"/>
    </row>
    <row r="19" spans="1:35" s="21" customFormat="1" ht="23.25" customHeight="1" x14ac:dyDescent="0.25">
      <c r="A19" s="540"/>
      <c r="B19" s="551"/>
      <c r="C19" s="126" t="s">
        <v>52</v>
      </c>
      <c r="D19" s="74">
        <f>SUM(J19,L19,N19,P19,R19,T19,V19,X19,Z19,AB19,AD19,AF19)</f>
        <v>96.4</v>
      </c>
      <c r="E19" s="62">
        <f>J19+T20</f>
        <v>122.7</v>
      </c>
      <c r="F19" s="62">
        <f>G19</f>
        <v>96.403999999999996</v>
      </c>
      <c r="G19" s="62">
        <f>SUM(K19,M19,O19,Q19,S19,U19,W19,Y19,AA19,AC19,AE19,AG19)</f>
        <v>96.403999999999996</v>
      </c>
      <c r="H19" s="62">
        <f t="shared" si="13"/>
        <v>100.00414937759334</v>
      </c>
      <c r="I19" s="62">
        <f t="shared" si="14"/>
        <v>78.568867155664208</v>
      </c>
      <c r="J19" s="62">
        <v>0</v>
      </c>
      <c r="K19" s="62">
        <v>0</v>
      </c>
      <c r="L19" s="62">
        <v>0</v>
      </c>
      <c r="M19" s="62">
        <v>0</v>
      </c>
      <c r="N19" s="62">
        <v>0</v>
      </c>
      <c r="O19" s="62">
        <v>0</v>
      </c>
      <c r="P19" s="62">
        <v>0</v>
      </c>
      <c r="Q19" s="62">
        <v>0</v>
      </c>
      <c r="R19" s="62">
        <v>0</v>
      </c>
      <c r="S19" s="62">
        <v>0</v>
      </c>
      <c r="T19" s="62">
        <v>96.4</v>
      </c>
      <c r="U19" s="74">
        <v>96.403999999999996</v>
      </c>
      <c r="V19" s="62">
        <v>0</v>
      </c>
      <c r="W19" s="62">
        <v>0</v>
      </c>
      <c r="X19" s="62">
        <v>0</v>
      </c>
      <c r="Y19" s="62">
        <v>0</v>
      </c>
      <c r="Z19" s="62">
        <v>0</v>
      </c>
      <c r="AA19" s="62">
        <v>0</v>
      </c>
      <c r="AB19" s="62">
        <v>0</v>
      </c>
      <c r="AC19" s="62">
        <v>0</v>
      </c>
      <c r="AD19" s="62">
        <v>0</v>
      </c>
      <c r="AE19" s="62">
        <v>0</v>
      </c>
      <c r="AF19" s="62">
        <v>0</v>
      </c>
      <c r="AG19" s="62">
        <v>0</v>
      </c>
      <c r="AH19" s="60"/>
      <c r="AI19" s="23"/>
    </row>
    <row r="20" spans="1:35" s="21" customFormat="1" ht="36.75" customHeight="1" x14ac:dyDescent="0.25">
      <c r="A20" s="540"/>
      <c r="B20" s="551"/>
      <c r="C20" s="126" t="s">
        <v>22</v>
      </c>
      <c r="D20" s="74">
        <f>SUM(J20,L20,N20,P20,R20,T20,V20,X20,Z20,AB20,AD20,AF20)</f>
        <v>122.7</v>
      </c>
      <c r="E20" s="62">
        <f>J20+T20</f>
        <v>122.7</v>
      </c>
      <c r="F20" s="62">
        <f>G20</f>
        <v>122.69499999999999</v>
      </c>
      <c r="G20" s="62">
        <f>SUM(K20,M20,O20,Q20,S20,U20,W20,Y20,AA20,AC20,AE20,AG20)</f>
        <v>122.69499999999999</v>
      </c>
      <c r="H20" s="62">
        <f t="shared" si="13"/>
        <v>99.995925020374884</v>
      </c>
      <c r="I20" s="62">
        <f t="shared" si="14"/>
        <v>99.995925020374884</v>
      </c>
      <c r="J20" s="63">
        <v>0</v>
      </c>
      <c r="K20" s="63">
        <v>0</v>
      </c>
      <c r="L20" s="63">
        <v>0</v>
      </c>
      <c r="M20" s="63">
        <v>0</v>
      </c>
      <c r="N20" s="63">
        <v>0</v>
      </c>
      <c r="O20" s="63">
        <v>0</v>
      </c>
      <c r="P20" s="63">
        <v>0</v>
      </c>
      <c r="Q20" s="63">
        <v>0</v>
      </c>
      <c r="R20" s="63">
        <v>0</v>
      </c>
      <c r="S20" s="63">
        <v>0</v>
      </c>
      <c r="T20" s="63">
        <v>122.7</v>
      </c>
      <c r="U20" s="67">
        <v>122.69499999999999</v>
      </c>
      <c r="V20" s="63">
        <v>0</v>
      </c>
      <c r="W20" s="63">
        <v>0</v>
      </c>
      <c r="X20" s="63">
        <v>0</v>
      </c>
      <c r="Y20" s="63">
        <v>0</v>
      </c>
      <c r="Z20" s="63">
        <v>0</v>
      </c>
      <c r="AA20" s="63">
        <v>0</v>
      </c>
      <c r="AB20" s="63">
        <v>0</v>
      </c>
      <c r="AC20" s="63">
        <v>0</v>
      </c>
      <c r="AD20" s="63">
        <v>0</v>
      </c>
      <c r="AE20" s="63">
        <v>0</v>
      </c>
      <c r="AF20" s="63">
        <v>0</v>
      </c>
      <c r="AG20" s="63">
        <v>0</v>
      </c>
      <c r="AH20" s="60"/>
      <c r="AI20" s="23"/>
    </row>
    <row r="21" spans="1:35" s="22" customFormat="1" ht="33" customHeight="1" x14ac:dyDescent="0.25">
      <c r="A21" s="541"/>
      <c r="B21" s="595"/>
      <c r="C21" s="126" t="s">
        <v>21</v>
      </c>
      <c r="D21" s="74">
        <f>SUM(J21,L21,N21,P21,R21,T21,V21,X21,Z21,AB21,AD21,AF21)</f>
        <v>54.8</v>
      </c>
      <c r="E21" s="62">
        <f>J21+T21</f>
        <v>54.8</v>
      </c>
      <c r="F21" s="62">
        <f>G21</f>
        <v>54.8</v>
      </c>
      <c r="G21" s="62">
        <f>SUM(K21,M21,O21,Q21,S21,U21,W21,Y21,AA21,AC21,AE21,AG21)</f>
        <v>54.8</v>
      </c>
      <c r="H21" s="62">
        <f t="shared" si="13"/>
        <v>100</v>
      </c>
      <c r="I21" s="62">
        <f t="shared" si="14"/>
        <v>100</v>
      </c>
      <c r="J21" s="67">
        <v>0</v>
      </c>
      <c r="K21" s="67">
        <v>0</v>
      </c>
      <c r="L21" s="67">
        <v>0</v>
      </c>
      <c r="M21" s="67">
        <v>0</v>
      </c>
      <c r="N21" s="67">
        <v>0</v>
      </c>
      <c r="O21" s="67">
        <v>0</v>
      </c>
      <c r="P21" s="67">
        <v>0</v>
      </c>
      <c r="Q21" s="67">
        <v>0</v>
      </c>
      <c r="R21" s="67">
        <v>0</v>
      </c>
      <c r="S21" s="67">
        <v>0</v>
      </c>
      <c r="T21" s="67">
        <v>54.8</v>
      </c>
      <c r="U21" s="67">
        <v>54.8</v>
      </c>
      <c r="V21" s="67">
        <v>0</v>
      </c>
      <c r="W21" s="67">
        <v>0</v>
      </c>
      <c r="X21" s="67">
        <v>0</v>
      </c>
      <c r="Y21" s="67">
        <v>0</v>
      </c>
      <c r="Z21" s="67">
        <v>0</v>
      </c>
      <c r="AA21" s="67">
        <v>0</v>
      </c>
      <c r="AB21" s="67">
        <v>0</v>
      </c>
      <c r="AC21" s="67">
        <v>0</v>
      </c>
      <c r="AD21" s="67">
        <v>0</v>
      </c>
      <c r="AE21" s="67">
        <v>0</v>
      </c>
      <c r="AF21" s="67">
        <v>0</v>
      </c>
      <c r="AG21" s="67">
        <v>0</v>
      </c>
      <c r="AH21" s="64"/>
      <c r="AI21" s="20"/>
    </row>
    <row r="22" spans="1:35" s="21" customFormat="1" ht="18" customHeight="1" x14ac:dyDescent="0.25">
      <c r="A22" s="539"/>
      <c r="B22" s="550" t="s">
        <v>117</v>
      </c>
      <c r="C22" s="125" t="s">
        <v>20</v>
      </c>
      <c r="D22" s="70">
        <f>D24+D25+D23</f>
        <v>184.29999999999998</v>
      </c>
      <c r="E22" s="58">
        <f t="shared" ref="E22:G22" si="19">E24+E25+E23</f>
        <v>126.00999999999999</v>
      </c>
      <c r="F22" s="58">
        <f t="shared" si="19"/>
        <v>126.00999999999999</v>
      </c>
      <c r="G22" s="58">
        <f t="shared" si="19"/>
        <v>126.00999999999999</v>
      </c>
      <c r="H22" s="58">
        <f t="shared" si="13"/>
        <v>68.372219207813345</v>
      </c>
      <c r="I22" s="58">
        <f t="shared" si="14"/>
        <v>100</v>
      </c>
      <c r="J22" s="58">
        <f t="shared" ref="J22:AG22" si="20">J24+J25+J23</f>
        <v>0</v>
      </c>
      <c r="K22" s="58">
        <f t="shared" si="20"/>
        <v>0</v>
      </c>
      <c r="L22" s="58">
        <f t="shared" si="20"/>
        <v>11.65</v>
      </c>
      <c r="M22" s="58">
        <f t="shared" si="20"/>
        <v>11.65</v>
      </c>
      <c r="N22" s="58">
        <f t="shared" si="20"/>
        <v>11.65</v>
      </c>
      <c r="O22" s="58">
        <f t="shared" si="20"/>
        <v>11.65</v>
      </c>
      <c r="P22" s="58">
        <f t="shared" si="20"/>
        <v>11.65</v>
      </c>
      <c r="Q22" s="58">
        <f t="shared" si="20"/>
        <v>11.65</v>
      </c>
      <c r="R22" s="58">
        <f t="shared" si="20"/>
        <v>56.11</v>
      </c>
      <c r="S22" s="58">
        <f t="shared" si="20"/>
        <v>56.11</v>
      </c>
      <c r="T22" s="58">
        <f t="shared" si="20"/>
        <v>11.65</v>
      </c>
      <c r="U22" s="70">
        <f t="shared" si="20"/>
        <v>11.65</v>
      </c>
      <c r="V22" s="58">
        <f t="shared" si="20"/>
        <v>11.65</v>
      </c>
      <c r="W22" s="58">
        <f t="shared" si="20"/>
        <v>11.65</v>
      </c>
      <c r="X22" s="58">
        <f t="shared" si="20"/>
        <v>11.65</v>
      </c>
      <c r="Y22" s="58">
        <f t="shared" si="20"/>
        <v>11.65</v>
      </c>
      <c r="Z22" s="58">
        <f t="shared" si="20"/>
        <v>11.65</v>
      </c>
      <c r="AA22" s="58">
        <f t="shared" si="20"/>
        <v>0</v>
      </c>
      <c r="AB22" s="58">
        <f t="shared" si="20"/>
        <v>11.65</v>
      </c>
      <c r="AC22" s="58">
        <f t="shared" si="20"/>
        <v>0</v>
      </c>
      <c r="AD22" s="58">
        <f t="shared" si="20"/>
        <v>11.65</v>
      </c>
      <c r="AE22" s="58">
        <f t="shared" si="20"/>
        <v>0</v>
      </c>
      <c r="AF22" s="58">
        <f t="shared" si="20"/>
        <v>23.34</v>
      </c>
      <c r="AG22" s="58">
        <f t="shared" si="20"/>
        <v>0</v>
      </c>
      <c r="AH22" s="60"/>
      <c r="AI22" s="23"/>
    </row>
    <row r="23" spans="1:35" s="21" customFormat="1" ht="36" hidden="1" customHeight="1" x14ac:dyDescent="0.25">
      <c r="A23" s="540"/>
      <c r="B23" s="551"/>
      <c r="C23" s="126" t="s">
        <v>52</v>
      </c>
      <c r="D23" s="74">
        <f>SUM(J23,L23,N23,P23,R23,T23,V23,X23,Z23,AB23,AD23,AF23)</f>
        <v>0</v>
      </c>
      <c r="E23" s="62">
        <f>J23</f>
        <v>0</v>
      </c>
      <c r="F23" s="62">
        <f>G23</f>
        <v>0</v>
      </c>
      <c r="G23" s="62">
        <f>SUM(K23,M23,O23,Q23,S23,U23,W23,Y23,AA23,AC23,AE23,AG23)</f>
        <v>0</v>
      </c>
      <c r="H23" s="62">
        <f t="shared" si="13"/>
        <v>0</v>
      </c>
      <c r="I23" s="62">
        <f t="shared" si="14"/>
        <v>0</v>
      </c>
      <c r="J23" s="62">
        <v>0</v>
      </c>
      <c r="K23" s="62">
        <v>0</v>
      </c>
      <c r="L23" s="62">
        <v>0</v>
      </c>
      <c r="M23" s="62">
        <v>0</v>
      </c>
      <c r="N23" s="62">
        <v>0</v>
      </c>
      <c r="O23" s="62">
        <v>0</v>
      </c>
      <c r="P23" s="62">
        <v>0</v>
      </c>
      <c r="Q23" s="62">
        <v>0</v>
      </c>
      <c r="R23" s="62">
        <v>0</v>
      </c>
      <c r="S23" s="62">
        <v>0</v>
      </c>
      <c r="T23" s="62">
        <v>0</v>
      </c>
      <c r="U23" s="74">
        <v>0</v>
      </c>
      <c r="V23" s="62">
        <v>0</v>
      </c>
      <c r="W23" s="62">
        <v>0</v>
      </c>
      <c r="X23" s="62">
        <v>0</v>
      </c>
      <c r="Y23" s="62">
        <v>0</v>
      </c>
      <c r="Z23" s="62">
        <v>0</v>
      </c>
      <c r="AA23" s="62">
        <v>0</v>
      </c>
      <c r="AB23" s="62">
        <v>0</v>
      </c>
      <c r="AC23" s="62">
        <v>0</v>
      </c>
      <c r="AD23" s="62">
        <v>0</v>
      </c>
      <c r="AE23" s="62">
        <v>0</v>
      </c>
      <c r="AF23" s="62">
        <v>0</v>
      </c>
      <c r="AG23" s="62">
        <v>0</v>
      </c>
      <c r="AH23" s="60"/>
      <c r="AI23" s="23"/>
    </row>
    <row r="24" spans="1:35" s="21" customFormat="1" ht="37.5" customHeight="1" x14ac:dyDescent="0.25">
      <c r="A24" s="540"/>
      <c r="B24" s="551"/>
      <c r="C24" s="126" t="s">
        <v>22</v>
      </c>
      <c r="D24" s="74">
        <f>SUM(J24,L24,N24,P24,R24,T24,V24,X24,Z24,AB24,AD24,AF24)</f>
        <v>147.39999999999998</v>
      </c>
      <c r="E24" s="62">
        <f>J24+L24+N24+P24+R24+T24++V24+X24</f>
        <v>96.159999999999982</v>
      </c>
      <c r="F24" s="62">
        <f>G24</f>
        <v>96.159999999999982</v>
      </c>
      <c r="G24" s="62">
        <f>SUM(K24,M24,O24,Q24,S24,U24,W24,Y24,AA24,AC24,AE24,AG24)</f>
        <v>96.159999999999982</v>
      </c>
      <c r="H24" s="62">
        <f t="shared" si="13"/>
        <v>65.237449118046129</v>
      </c>
      <c r="I24" s="62">
        <f t="shared" si="14"/>
        <v>100</v>
      </c>
      <c r="J24" s="63">
        <v>0</v>
      </c>
      <c r="K24" s="63">
        <v>0</v>
      </c>
      <c r="L24" s="63">
        <v>0</v>
      </c>
      <c r="M24" s="63">
        <v>0</v>
      </c>
      <c r="N24" s="63">
        <v>10.1</v>
      </c>
      <c r="O24" s="63">
        <v>10.1</v>
      </c>
      <c r="P24" s="63">
        <v>10.1</v>
      </c>
      <c r="Q24" s="63">
        <v>10.1</v>
      </c>
      <c r="R24" s="63">
        <v>45.66</v>
      </c>
      <c r="S24" s="63">
        <v>45.66</v>
      </c>
      <c r="T24" s="63">
        <v>10.1</v>
      </c>
      <c r="U24" s="67">
        <v>10.1</v>
      </c>
      <c r="V24" s="63">
        <v>10.1</v>
      </c>
      <c r="W24" s="63">
        <v>10.1</v>
      </c>
      <c r="X24" s="63">
        <v>10.1</v>
      </c>
      <c r="Y24" s="63">
        <v>10.1</v>
      </c>
      <c r="Z24" s="63">
        <v>10.1</v>
      </c>
      <c r="AA24" s="63">
        <v>0</v>
      </c>
      <c r="AB24" s="63">
        <v>10.1</v>
      </c>
      <c r="AC24" s="63">
        <v>0</v>
      </c>
      <c r="AD24" s="63">
        <v>10.1</v>
      </c>
      <c r="AE24" s="63">
        <v>0</v>
      </c>
      <c r="AF24" s="63">
        <v>20.94</v>
      </c>
      <c r="AG24" s="63">
        <v>0</v>
      </c>
      <c r="AH24" s="60"/>
      <c r="AI24" s="23"/>
    </row>
    <row r="25" spans="1:35" s="22" customFormat="1" ht="28.5" customHeight="1" x14ac:dyDescent="0.25">
      <c r="A25" s="541"/>
      <c r="B25" s="595"/>
      <c r="C25" s="126" t="s">
        <v>21</v>
      </c>
      <c r="D25" s="74">
        <f>SUM(J25,L25,N25,P25,R25,T25,V25,X25,Z25,AB25,AD25,AF25)</f>
        <v>36.9</v>
      </c>
      <c r="E25" s="62">
        <f>J25+L25+N25+P25+R25+T25+V25+X25</f>
        <v>29.850000000000005</v>
      </c>
      <c r="F25" s="62">
        <f>G25</f>
        <v>29.850000000000005</v>
      </c>
      <c r="G25" s="62">
        <f>SUM(K25,M25,O25,Q25,S25,U25,W25,Y25,AA25,AC25,AE25,AG25)</f>
        <v>29.850000000000005</v>
      </c>
      <c r="H25" s="62">
        <f t="shared" si="13"/>
        <v>80.894308943089442</v>
      </c>
      <c r="I25" s="62">
        <f t="shared" si="14"/>
        <v>100</v>
      </c>
      <c r="J25" s="67">
        <v>0</v>
      </c>
      <c r="K25" s="67">
        <v>0</v>
      </c>
      <c r="L25" s="67">
        <v>11.65</v>
      </c>
      <c r="M25" s="67">
        <v>11.65</v>
      </c>
      <c r="N25" s="67">
        <v>1.55</v>
      </c>
      <c r="O25" s="67">
        <v>1.55</v>
      </c>
      <c r="P25" s="67">
        <v>1.55</v>
      </c>
      <c r="Q25" s="67">
        <v>1.55</v>
      </c>
      <c r="R25" s="67">
        <v>10.45</v>
      </c>
      <c r="S25" s="67">
        <v>10.45</v>
      </c>
      <c r="T25" s="67">
        <v>1.55</v>
      </c>
      <c r="U25" s="67">
        <v>1.55</v>
      </c>
      <c r="V25" s="67">
        <v>1.55</v>
      </c>
      <c r="W25" s="67">
        <v>1.55</v>
      </c>
      <c r="X25" s="67">
        <v>1.55</v>
      </c>
      <c r="Y25" s="67">
        <v>1.55</v>
      </c>
      <c r="Z25" s="67">
        <v>1.55</v>
      </c>
      <c r="AA25" s="67">
        <v>0</v>
      </c>
      <c r="AB25" s="67">
        <v>1.55</v>
      </c>
      <c r="AC25" s="67">
        <v>0</v>
      </c>
      <c r="AD25" s="67">
        <v>1.55</v>
      </c>
      <c r="AE25" s="67">
        <v>0</v>
      </c>
      <c r="AF25" s="67">
        <v>2.4</v>
      </c>
      <c r="AG25" s="67">
        <v>0</v>
      </c>
      <c r="AH25" s="64"/>
      <c r="AI25" s="20"/>
    </row>
    <row r="26" spans="1:35" s="21" customFormat="1" ht="24.75" customHeight="1" x14ac:dyDescent="0.25">
      <c r="A26" s="539"/>
      <c r="B26" s="550" t="s">
        <v>118</v>
      </c>
      <c r="C26" s="125" t="s">
        <v>20</v>
      </c>
      <c r="D26" s="70">
        <f>D28+D29+D27</f>
        <v>277.70000000000005</v>
      </c>
      <c r="E26" s="58">
        <f t="shared" ref="E26:G26" si="21">E28+E29+E27</f>
        <v>142.90000000000003</v>
      </c>
      <c r="F26" s="58">
        <f t="shared" si="21"/>
        <v>140.86000000000001</v>
      </c>
      <c r="G26" s="58">
        <f t="shared" si="21"/>
        <v>140.86000000000001</v>
      </c>
      <c r="H26" s="58">
        <f t="shared" si="13"/>
        <v>50.723802664746117</v>
      </c>
      <c r="I26" s="58">
        <f t="shared" si="14"/>
        <v>98.572428271518532</v>
      </c>
      <c r="J26" s="58">
        <f t="shared" ref="J26:AG26" si="22">J28+J29+J27</f>
        <v>0</v>
      </c>
      <c r="K26" s="58">
        <f t="shared" si="22"/>
        <v>0</v>
      </c>
      <c r="L26" s="58">
        <f t="shared" si="22"/>
        <v>0</v>
      </c>
      <c r="M26" s="58">
        <f t="shared" si="22"/>
        <v>0</v>
      </c>
      <c r="N26" s="58">
        <f t="shared" si="22"/>
        <v>9.4</v>
      </c>
      <c r="O26" s="58">
        <f t="shared" si="22"/>
        <v>9.4</v>
      </c>
      <c r="P26" s="58">
        <f t="shared" si="22"/>
        <v>12.700000000000001</v>
      </c>
      <c r="Q26" s="58">
        <f t="shared" si="22"/>
        <v>10.28</v>
      </c>
      <c r="R26" s="58">
        <f t="shared" si="22"/>
        <v>82.7</v>
      </c>
      <c r="S26" s="58">
        <f t="shared" si="22"/>
        <v>82.789999999999992</v>
      </c>
      <c r="T26" s="58">
        <f t="shared" si="22"/>
        <v>12.7</v>
      </c>
      <c r="U26" s="70">
        <f t="shared" si="22"/>
        <v>12.8</v>
      </c>
      <c r="V26" s="58">
        <f t="shared" si="22"/>
        <v>12.7</v>
      </c>
      <c r="W26" s="58">
        <f t="shared" si="22"/>
        <v>12.79</v>
      </c>
      <c r="X26" s="58">
        <f t="shared" si="22"/>
        <v>12.7</v>
      </c>
      <c r="Y26" s="58">
        <f t="shared" si="22"/>
        <v>12.8</v>
      </c>
      <c r="Z26" s="58">
        <f t="shared" si="22"/>
        <v>96.7</v>
      </c>
      <c r="AA26" s="58">
        <f t="shared" si="22"/>
        <v>0</v>
      </c>
      <c r="AB26" s="58">
        <f t="shared" si="22"/>
        <v>12.7</v>
      </c>
      <c r="AC26" s="58">
        <f t="shared" si="22"/>
        <v>0</v>
      </c>
      <c r="AD26" s="58">
        <f t="shared" si="22"/>
        <v>12.7</v>
      </c>
      <c r="AE26" s="58">
        <f t="shared" si="22"/>
        <v>0</v>
      </c>
      <c r="AF26" s="58">
        <f t="shared" si="22"/>
        <v>12.7</v>
      </c>
      <c r="AG26" s="58">
        <f t="shared" si="22"/>
        <v>0</v>
      </c>
      <c r="AH26" s="307" t="s">
        <v>338</v>
      </c>
      <c r="AI26" s="23"/>
    </row>
    <row r="27" spans="1:35" s="21" customFormat="1" ht="42.75" hidden="1" customHeight="1" x14ac:dyDescent="0.25">
      <c r="A27" s="540"/>
      <c r="B27" s="551"/>
      <c r="C27" s="126" t="s">
        <v>52</v>
      </c>
      <c r="D27" s="74">
        <f>SUM(J27,L27,N27,P27,R27,T27,V27,X27,Z27,AB27,AD27,AF27)</f>
        <v>0</v>
      </c>
      <c r="E27" s="62">
        <f>J27</f>
        <v>0</v>
      </c>
      <c r="F27" s="62">
        <f>G27</f>
        <v>0</v>
      </c>
      <c r="G27" s="62">
        <f>SUM(K27,M27,O27,Q27,S27,U27,W27,Y27,AA27,AC27,AE27,AG27)</f>
        <v>0</v>
      </c>
      <c r="H27" s="62">
        <f t="shared" si="13"/>
        <v>0</v>
      </c>
      <c r="I27" s="62">
        <f t="shared" si="14"/>
        <v>0</v>
      </c>
      <c r="J27" s="62">
        <v>0</v>
      </c>
      <c r="K27" s="62">
        <v>0</v>
      </c>
      <c r="L27" s="62">
        <v>0</v>
      </c>
      <c r="M27" s="62">
        <v>0</v>
      </c>
      <c r="N27" s="62">
        <v>0</v>
      </c>
      <c r="O27" s="62">
        <v>0</v>
      </c>
      <c r="P27" s="62">
        <v>0</v>
      </c>
      <c r="Q27" s="62">
        <v>0</v>
      </c>
      <c r="R27" s="62">
        <v>0</v>
      </c>
      <c r="S27" s="62">
        <v>0</v>
      </c>
      <c r="T27" s="62">
        <v>0</v>
      </c>
      <c r="U27" s="74">
        <v>0</v>
      </c>
      <c r="V27" s="62">
        <v>0</v>
      </c>
      <c r="W27" s="62">
        <v>0</v>
      </c>
      <c r="X27" s="62">
        <v>0</v>
      </c>
      <c r="Y27" s="62">
        <v>0</v>
      </c>
      <c r="Z27" s="62">
        <v>0</v>
      </c>
      <c r="AA27" s="62">
        <v>0</v>
      </c>
      <c r="AB27" s="62">
        <v>0</v>
      </c>
      <c r="AC27" s="62">
        <v>0</v>
      </c>
      <c r="AD27" s="62">
        <v>0</v>
      </c>
      <c r="AE27" s="62">
        <v>0</v>
      </c>
      <c r="AF27" s="62">
        <v>0</v>
      </c>
      <c r="AG27" s="62">
        <v>0</v>
      </c>
      <c r="AH27" s="60"/>
      <c r="AI27" s="23"/>
    </row>
    <row r="28" spans="1:35" s="21" customFormat="1" ht="48" customHeight="1" x14ac:dyDescent="0.25">
      <c r="A28" s="540"/>
      <c r="B28" s="551"/>
      <c r="C28" s="126" t="s">
        <v>22</v>
      </c>
      <c r="D28" s="74">
        <f>SUM(J28,L28,N28,P28,R28,T28,V28,X28,Z28,AB28,AD28,AF28)</f>
        <v>222.10000000000002</v>
      </c>
      <c r="E28" s="62">
        <f>J28+L28+N28+P28+R28+T28+V28+X28</f>
        <v>106.9</v>
      </c>
      <c r="F28" s="62">
        <f>G28</f>
        <v>106.9</v>
      </c>
      <c r="G28" s="62">
        <f>SUM(K28,M28,O28,Q28,S28,U28,W28,Y28,AA28,AC28,AE28,AG28)</f>
        <v>106.9</v>
      </c>
      <c r="H28" s="62">
        <f t="shared" si="13"/>
        <v>48.131472309770373</v>
      </c>
      <c r="I28" s="62">
        <f t="shared" si="14"/>
        <v>100</v>
      </c>
      <c r="J28" s="63">
        <v>0</v>
      </c>
      <c r="K28" s="63">
        <v>0</v>
      </c>
      <c r="L28" s="63">
        <v>0</v>
      </c>
      <c r="M28" s="63">
        <v>0</v>
      </c>
      <c r="N28" s="63">
        <v>0</v>
      </c>
      <c r="O28" s="63">
        <v>0</v>
      </c>
      <c r="P28" s="63">
        <v>2.9</v>
      </c>
      <c r="Q28" s="63">
        <v>2.9</v>
      </c>
      <c r="R28" s="63">
        <v>68</v>
      </c>
      <c r="S28" s="63">
        <v>68</v>
      </c>
      <c r="T28" s="63">
        <v>12</v>
      </c>
      <c r="U28" s="67">
        <v>12</v>
      </c>
      <c r="V28" s="63">
        <v>12</v>
      </c>
      <c r="W28" s="63">
        <v>12</v>
      </c>
      <c r="X28" s="63">
        <v>12</v>
      </c>
      <c r="Y28" s="63">
        <v>12</v>
      </c>
      <c r="Z28" s="63">
        <v>79.2</v>
      </c>
      <c r="AA28" s="63">
        <v>0</v>
      </c>
      <c r="AB28" s="63">
        <v>12</v>
      </c>
      <c r="AC28" s="63">
        <v>0</v>
      </c>
      <c r="AD28" s="63">
        <v>12</v>
      </c>
      <c r="AE28" s="63">
        <v>0</v>
      </c>
      <c r="AF28" s="63">
        <v>12</v>
      </c>
      <c r="AG28" s="63">
        <v>0</v>
      </c>
      <c r="AH28" s="60"/>
      <c r="AI28" s="23"/>
    </row>
    <row r="29" spans="1:35" s="22" customFormat="1" ht="38.25" customHeight="1" x14ac:dyDescent="0.25">
      <c r="A29" s="541"/>
      <c r="B29" s="595"/>
      <c r="C29" s="126" t="s">
        <v>21</v>
      </c>
      <c r="D29" s="74">
        <f>SUM(J29,L29,N29,P29,R29,T29,V29,X29,Z29,AB29,AD29,AF29)</f>
        <v>55.600000000000023</v>
      </c>
      <c r="E29" s="62">
        <f>J29+L29+N29+P29+R29+T29+V29+X29</f>
        <v>36.000000000000014</v>
      </c>
      <c r="F29" s="62">
        <f>G29</f>
        <v>33.959999999999994</v>
      </c>
      <c r="G29" s="62">
        <f>SUM(K29,M29,O29,Q29,S29,U29,W29,Y29,AA29,AC29,AE29,AG29)</f>
        <v>33.959999999999994</v>
      </c>
      <c r="H29" s="62">
        <f t="shared" si="13"/>
        <v>61.079136690647452</v>
      </c>
      <c r="I29" s="62">
        <f t="shared" si="14"/>
        <v>94.333333333333286</v>
      </c>
      <c r="J29" s="67">
        <v>0</v>
      </c>
      <c r="K29" s="67">
        <v>0</v>
      </c>
      <c r="L29" s="67">
        <v>0</v>
      </c>
      <c r="M29" s="67">
        <v>0</v>
      </c>
      <c r="N29" s="67">
        <v>9.4</v>
      </c>
      <c r="O29" s="67">
        <v>9.4</v>
      </c>
      <c r="P29" s="67">
        <v>9.8000000000000007</v>
      </c>
      <c r="Q29" s="67">
        <v>7.38</v>
      </c>
      <c r="R29" s="67">
        <v>14.7</v>
      </c>
      <c r="S29" s="67">
        <v>14.79</v>
      </c>
      <c r="T29" s="67">
        <v>0.7</v>
      </c>
      <c r="U29" s="67">
        <v>0.8</v>
      </c>
      <c r="V29" s="67">
        <v>0.7</v>
      </c>
      <c r="W29" s="67">
        <v>0.79</v>
      </c>
      <c r="X29" s="67">
        <v>0.7</v>
      </c>
      <c r="Y29" s="67">
        <v>0.8</v>
      </c>
      <c r="Z29" s="67">
        <v>17.5</v>
      </c>
      <c r="AA29" s="67">
        <v>0</v>
      </c>
      <c r="AB29" s="67">
        <v>0.7</v>
      </c>
      <c r="AC29" s="67">
        <v>0</v>
      </c>
      <c r="AD29" s="67">
        <v>0.7</v>
      </c>
      <c r="AE29" s="67">
        <v>0</v>
      </c>
      <c r="AF29" s="67">
        <v>0.7</v>
      </c>
      <c r="AG29" s="67">
        <v>0</v>
      </c>
      <c r="AH29" s="64"/>
      <c r="AI29" s="20"/>
    </row>
    <row r="30" spans="1:35" s="21" customFormat="1" ht="21" customHeight="1" x14ac:dyDescent="0.25">
      <c r="A30" s="539" t="s">
        <v>76</v>
      </c>
      <c r="B30" s="542" t="s">
        <v>119</v>
      </c>
      <c r="C30" s="125" t="s">
        <v>20</v>
      </c>
      <c r="D30" s="70">
        <f>D32+D33+D31</f>
        <v>17366.899000000001</v>
      </c>
      <c r="E30" s="58">
        <f t="shared" ref="E30:G30" si="23">E32+E33+E31</f>
        <v>11618.835999999999</v>
      </c>
      <c r="F30" s="58">
        <f t="shared" si="23"/>
        <v>1486.9740000000002</v>
      </c>
      <c r="G30" s="58">
        <f t="shared" si="23"/>
        <v>11618.83</v>
      </c>
      <c r="H30" s="58">
        <f t="shared" si="13"/>
        <v>66.902156798401364</v>
      </c>
      <c r="I30" s="58">
        <f t="shared" si="14"/>
        <v>99.999948359715205</v>
      </c>
      <c r="J30" s="58">
        <f t="shared" ref="J30:AG30" si="24">J32+J33+J31</f>
        <v>0</v>
      </c>
      <c r="K30" s="58">
        <f t="shared" si="24"/>
        <v>0</v>
      </c>
      <c r="L30" s="58">
        <f t="shared" si="24"/>
        <v>0</v>
      </c>
      <c r="M30" s="58">
        <f t="shared" si="24"/>
        <v>0</v>
      </c>
      <c r="N30" s="58">
        <f t="shared" si="24"/>
        <v>1486.9740000000002</v>
      </c>
      <c r="O30" s="58">
        <f t="shared" si="24"/>
        <v>1486.97</v>
      </c>
      <c r="P30" s="58">
        <f t="shared" si="24"/>
        <v>1549.999</v>
      </c>
      <c r="Q30" s="58">
        <f t="shared" si="24"/>
        <v>1550</v>
      </c>
      <c r="R30" s="58">
        <f t="shared" si="24"/>
        <v>3398.5020000000004</v>
      </c>
      <c r="S30" s="58">
        <f t="shared" si="24"/>
        <v>3398.5</v>
      </c>
      <c r="T30" s="58">
        <f t="shared" si="24"/>
        <v>2571.6530000000002</v>
      </c>
      <c r="U30" s="70">
        <f t="shared" si="24"/>
        <v>2571.65</v>
      </c>
      <c r="V30" s="58">
        <f t="shared" si="24"/>
        <v>2611.7080000000001</v>
      </c>
      <c r="W30" s="58">
        <f t="shared" si="24"/>
        <v>2611.71</v>
      </c>
      <c r="X30" s="58">
        <f t="shared" si="24"/>
        <v>0</v>
      </c>
      <c r="Y30" s="58">
        <f t="shared" si="24"/>
        <v>0</v>
      </c>
      <c r="Z30" s="58">
        <f t="shared" si="24"/>
        <v>5748</v>
      </c>
      <c r="AA30" s="58">
        <f t="shared" si="24"/>
        <v>0</v>
      </c>
      <c r="AB30" s="58">
        <f t="shared" si="24"/>
        <v>0</v>
      </c>
      <c r="AC30" s="58">
        <f t="shared" si="24"/>
        <v>0</v>
      </c>
      <c r="AD30" s="58">
        <f t="shared" si="24"/>
        <v>0</v>
      </c>
      <c r="AE30" s="58">
        <f t="shared" si="24"/>
        <v>0</v>
      </c>
      <c r="AF30" s="58">
        <f t="shared" si="24"/>
        <v>6.3E-2</v>
      </c>
      <c r="AG30" s="58">
        <f t="shared" si="24"/>
        <v>0</v>
      </c>
      <c r="AH30" s="60"/>
      <c r="AI30" s="23"/>
    </row>
    <row r="31" spans="1:35" s="21" customFormat="1" ht="34.5" customHeight="1" x14ac:dyDescent="0.25">
      <c r="A31" s="540"/>
      <c r="B31" s="543"/>
      <c r="C31" s="126" t="s">
        <v>52</v>
      </c>
      <c r="D31" s="74">
        <f>SUM(J31,L31,N31,P31,R31,T31,V31,X31,Z31,AB31,AD31,AF31)</f>
        <v>6637.6170000000002</v>
      </c>
      <c r="E31" s="62">
        <f>J31+L31+N31+P31+R31+T31+V31+X31</f>
        <v>4440.7269999999999</v>
      </c>
      <c r="F31" s="62">
        <v>568.322</v>
      </c>
      <c r="G31" s="62">
        <f>SUM(K31,M31,O31,Q31,S31,U31,W31,Y31,AA31,AC31,AE31,AG31)</f>
        <v>4440.7300000000005</v>
      </c>
      <c r="H31" s="62">
        <f t="shared" si="13"/>
        <v>66.902474186142413</v>
      </c>
      <c r="I31" s="62">
        <f t="shared" si="14"/>
        <v>100.00006755650597</v>
      </c>
      <c r="J31" s="62">
        <v>0</v>
      </c>
      <c r="K31" s="62">
        <v>0</v>
      </c>
      <c r="L31" s="62">
        <v>0</v>
      </c>
      <c r="M31" s="62">
        <v>0</v>
      </c>
      <c r="N31" s="62">
        <v>568.322</v>
      </c>
      <c r="O31" s="62">
        <v>568.32000000000005</v>
      </c>
      <c r="P31" s="62">
        <v>592.41</v>
      </c>
      <c r="Q31" s="62">
        <v>592.41</v>
      </c>
      <c r="R31" s="62">
        <v>1298.9100000000001</v>
      </c>
      <c r="S31" s="62">
        <v>1298.9100000000001</v>
      </c>
      <c r="T31" s="62">
        <v>982.89</v>
      </c>
      <c r="U31" s="74">
        <v>982.89</v>
      </c>
      <c r="V31" s="62">
        <v>998.19500000000005</v>
      </c>
      <c r="W31" s="62">
        <v>998.2</v>
      </c>
      <c r="X31" s="62">
        <v>0</v>
      </c>
      <c r="Y31" s="62">
        <v>0</v>
      </c>
      <c r="Z31" s="62">
        <v>2196.89</v>
      </c>
      <c r="AA31" s="62">
        <v>0</v>
      </c>
      <c r="AB31" s="62">
        <v>0</v>
      </c>
      <c r="AC31" s="62">
        <v>0</v>
      </c>
      <c r="AD31" s="62">
        <v>0</v>
      </c>
      <c r="AE31" s="62">
        <v>0</v>
      </c>
      <c r="AF31" s="62">
        <v>0</v>
      </c>
      <c r="AG31" s="62">
        <v>0</v>
      </c>
      <c r="AH31" s="60"/>
      <c r="AI31" s="23"/>
    </row>
    <row r="32" spans="1:35" s="21" customFormat="1" ht="45" customHeight="1" x14ac:dyDescent="0.25">
      <c r="A32" s="540"/>
      <c r="B32" s="543"/>
      <c r="C32" s="126" t="s">
        <v>22</v>
      </c>
      <c r="D32" s="74">
        <f>SUM(J32,L32,N32,P32,R32,T32,V32,X32,Z32,AB32,AD32,AF32)</f>
        <v>10381.886</v>
      </c>
      <c r="E32" s="62">
        <f>J32+L32+N32+P32+R32+T32+V32+X32</f>
        <v>6945.7360000000008</v>
      </c>
      <c r="F32" s="62">
        <v>888.91300000000001</v>
      </c>
      <c r="G32" s="62">
        <f>SUM(K32,M32,O32,Q32,S32,U32,W32,Y32,AA32,AC32,AE32,AG32)</f>
        <v>6945.73</v>
      </c>
      <c r="H32" s="62">
        <f t="shared" si="13"/>
        <v>66.902391338144142</v>
      </c>
      <c r="I32" s="62">
        <f t="shared" si="14"/>
        <v>99.99991361606601</v>
      </c>
      <c r="J32" s="63">
        <v>0</v>
      </c>
      <c r="K32" s="63">
        <v>0</v>
      </c>
      <c r="L32" s="63">
        <v>0</v>
      </c>
      <c r="M32" s="63">
        <v>0</v>
      </c>
      <c r="N32" s="63">
        <v>888.91300000000001</v>
      </c>
      <c r="O32" s="63">
        <v>888.91</v>
      </c>
      <c r="P32" s="63">
        <v>926.58900000000006</v>
      </c>
      <c r="Q32" s="63">
        <v>926.59</v>
      </c>
      <c r="R32" s="63">
        <v>2031.6220000000001</v>
      </c>
      <c r="S32" s="63">
        <v>2031.62</v>
      </c>
      <c r="T32" s="63">
        <v>1537.3330000000001</v>
      </c>
      <c r="U32" s="67">
        <v>1537.33</v>
      </c>
      <c r="V32" s="63">
        <v>1561.279</v>
      </c>
      <c r="W32" s="63">
        <v>1561.28</v>
      </c>
      <c r="X32" s="63">
        <v>0</v>
      </c>
      <c r="Y32" s="63">
        <v>0</v>
      </c>
      <c r="Z32" s="63">
        <v>3436.15</v>
      </c>
      <c r="AA32" s="63">
        <v>0</v>
      </c>
      <c r="AB32" s="63">
        <v>0</v>
      </c>
      <c r="AC32" s="63">
        <v>0</v>
      </c>
      <c r="AD32" s="63">
        <v>0</v>
      </c>
      <c r="AE32" s="63">
        <v>0</v>
      </c>
      <c r="AF32" s="63">
        <v>0</v>
      </c>
      <c r="AG32" s="63">
        <v>0</v>
      </c>
      <c r="AH32" s="60"/>
      <c r="AI32" s="23"/>
    </row>
    <row r="33" spans="1:35" s="22" customFormat="1" ht="37.5" customHeight="1" x14ac:dyDescent="0.25">
      <c r="A33" s="541"/>
      <c r="B33" s="544"/>
      <c r="C33" s="126" t="s">
        <v>21</v>
      </c>
      <c r="D33" s="74">
        <f>SUM(J33,L33,N33,P33,R33,T33,V33,X33,Z33,AB33,AD33,AF33)</f>
        <v>347.39600000000002</v>
      </c>
      <c r="E33" s="62">
        <f>J33+L33+N33+P33+R33+T33+V33+X33</f>
        <v>232.37300000000002</v>
      </c>
      <c r="F33" s="62">
        <v>29.739000000000001</v>
      </c>
      <c r="G33" s="62">
        <f>SUM(K33,M33,O33,Q33,S33,U33,W33,Y33,AA33,AC33,AE33,AG33)</f>
        <v>232.36999999999998</v>
      </c>
      <c r="H33" s="62">
        <f t="shared" si="13"/>
        <v>66.88908335156421</v>
      </c>
      <c r="I33" s="62">
        <f t="shared" si="14"/>
        <v>99.998708972212754</v>
      </c>
      <c r="J33" s="67">
        <v>0</v>
      </c>
      <c r="K33" s="67">
        <v>0</v>
      </c>
      <c r="L33" s="67">
        <v>0</v>
      </c>
      <c r="M33" s="67">
        <v>0</v>
      </c>
      <c r="N33" s="67">
        <v>29.739000000000001</v>
      </c>
      <c r="O33" s="67">
        <v>29.74</v>
      </c>
      <c r="P33" s="67">
        <v>31</v>
      </c>
      <c r="Q33" s="67">
        <v>31</v>
      </c>
      <c r="R33" s="67">
        <v>67.97</v>
      </c>
      <c r="S33" s="67">
        <v>67.97</v>
      </c>
      <c r="T33" s="67">
        <v>51.43</v>
      </c>
      <c r="U33" s="67">
        <v>51.43</v>
      </c>
      <c r="V33" s="67">
        <v>52.234000000000002</v>
      </c>
      <c r="W33" s="67">
        <v>52.23</v>
      </c>
      <c r="X33" s="67">
        <v>0</v>
      </c>
      <c r="Y33" s="67">
        <v>0</v>
      </c>
      <c r="Z33" s="67">
        <v>114.96</v>
      </c>
      <c r="AA33" s="67">
        <v>0</v>
      </c>
      <c r="AB33" s="67">
        <v>0</v>
      </c>
      <c r="AC33" s="67">
        <v>0</v>
      </c>
      <c r="AD33" s="67">
        <v>0</v>
      </c>
      <c r="AE33" s="67">
        <v>0</v>
      </c>
      <c r="AF33" s="67">
        <v>6.3E-2</v>
      </c>
      <c r="AG33" s="67">
        <v>0</v>
      </c>
      <c r="AH33" s="64"/>
      <c r="AI33" s="20"/>
    </row>
    <row r="34" spans="1:35" s="22" customFormat="1" ht="28.5" customHeight="1" x14ac:dyDescent="0.25">
      <c r="A34" s="545" t="s">
        <v>37</v>
      </c>
      <c r="B34" s="527" t="s">
        <v>120</v>
      </c>
      <c r="C34" s="125" t="s">
        <v>20</v>
      </c>
      <c r="D34" s="70">
        <f>D36+D35</f>
        <v>595216.56599999988</v>
      </c>
      <c r="E34" s="58">
        <f t="shared" ref="E34:G34" si="25">E36+E35</f>
        <v>34614.751000000004</v>
      </c>
      <c r="F34" s="58" t="e">
        <f t="shared" si="25"/>
        <v>#REF!</v>
      </c>
      <c r="G34" s="58" t="e">
        <f t="shared" si="25"/>
        <v>#REF!</v>
      </c>
      <c r="H34" s="58">
        <f t="shared" si="13"/>
        <v>0</v>
      </c>
      <c r="I34" s="58">
        <f t="shared" si="14"/>
        <v>0</v>
      </c>
      <c r="J34" s="59">
        <f>J36+J35</f>
        <v>34614.751000000004</v>
      </c>
      <c r="K34" s="59">
        <f t="shared" ref="K34:AG34" si="26">K36+K35</f>
        <v>20016.370999999996</v>
      </c>
      <c r="L34" s="59">
        <f t="shared" si="26"/>
        <v>37216.591</v>
      </c>
      <c r="M34" s="59">
        <f t="shared" si="26"/>
        <v>30273.255000000001</v>
      </c>
      <c r="N34" s="59">
        <f t="shared" si="26"/>
        <v>155042.79099999997</v>
      </c>
      <c r="O34" s="59">
        <f t="shared" si="26"/>
        <v>101451.46899999998</v>
      </c>
      <c r="P34" s="59">
        <f t="shared" si="26"/>
        <v>52847.724000000002</v>
      </c>
      <c r="Q34" s="59">
        <f t="shared" si="26"/>
        <v>40002.182999999997</v>
      </c>
      <c r="R34" s="59">
        <f t="shared" si="26"/>
        <v>35317.108</v>
      </c>
      <c r="S34" s="59">
        <f t="shared" si="26"/>
        <v>36653.264000000003</v>
      </c>
      <c r="T34" s="59">
        <f t="shared" si="26"/>
        <v>40620.203000000001</v>
      </c>
      <c r="U34" s="71">
        <f t="shared" si="26"/>
        <v>44417.154000000002</v>
      </c>
      <c r="V34" s="59">
        <f t="shared" si="26"/>
        <v>63084.672999999995</v>
      </c>
      <c r="W34" s="59">
        <f t="shared" si="26"/>
        <v>57378.370999999999</v>
      </c>
      <c r="X34" s="59">
        <f t="shared" si="26"/>
        <v>54643.836000000003</v>
      </c>
      <c r="Y34" s="59">
        <f t="shared" si="26"/>
        <v>41725.26400000001</v>
      </c>
      <c r="Z34" s="59">
        <f t="shared" si="26"/>
        <v>33658.378000000004</v>
      </c>
      <c r="AA34" s="59">
        <f t="shared" si="26"/>
        <v>11425.767</v>
      </c>
      <c r="AB34" s="59">
        <f t="shared" si="26"/>
        <v>30063.099000000002</v>
      </c>
      <c r="AC34" s="59" t="e">
        <f t="shared" si="26"/>
        <v>#REF!</v>
      </c>
      <c r="AD34" s="59">
        <f t="shared" si="26"/>
        <v>24322.305</v>
      </c>
      <c r="AE34" s="59">
        <f t="shared" si="26"/>
        <v>0</v>
      </c>
      <c r="AF34" s="59">
        <f t="shared" si="26"/>
        <v>33785.107000000004</v>
      </c>
      <c r="AG34" s="59">
        <f t="shared" si="26"/>
        <v>0</v>
      </c>
      <c r="AH34" s="60"/>
      <c r="AI34" s="20"/>
    </row>
    <row r="35" spans="1:35" s="26" customFormat="1" ht="55.5" customHeight="1" x14ac:dyDescent="0.25">
      <c r="A35" s="546"/>
      <c r="B35" s="528"/>
      <c r="C35" s="124" t="s">
        <v>21</v>
      </c>
      <c r="D35" s="74">
        <f>SUM(J35,L35,N35,P35,R35,T35,V35,X35,Z35,AB35,AD35,AF35)</f>
        <v>569062.89999999991</v>
      </c>
      <c r="E35" s="74">
        <f>J35</f>
        <v>31904.598000000002</v>
      </c>
      <c r="F35" s="74" t="e">
        <f>G35</f>
        <v>#REF!</v>
      </c>
      <c r="G35" s="74" t="e">
        <f>SUM(K35,M35,O35,Q35,S35,U35,W35,Y35,AA35,AC35,AE35,AG35)</f>
        <v>#REF!</v>
      </c>
      <c r="H35" s="74">
        <f>IFERROR(G35/D35*100,0)</f>
        <v>0</v>
      </c>
      <c r="I35" s="74">
        <f>IFERROR(G35/E35*100,0)</f>
        <v>0</v>
      </c>
      <c r="J35" s="67">
        <f t="shared" ref="J35:AG35" si="27">J38+J69+J76</f>
        <v>31904.598000000002</v>
      </c>
      <c r="K35" s="67">
        <f t="shared" si="27"/>
        <v>19293.159999999996</v>
      </c>
      <c r="L35" s="67">
        <f t="shared" si="27"/>
        <v>35158.641000000003</v>
      </c>
      <c r="M35" s="67">
        <f t="shared" si="27"/>
        <v>29081.023000000001</v>
      </c>
      <c r="N35" s="67">
        <f t="shared" si="27"/>
        <v>152509.18099999998</v>
      </c>
      <c r="O35" s="67">
        <f t="shared" si="27"/>
        <v>99854.048999999985</v>
      </c>
      <c r="P35" s="67">
        <f t="shared" si="27"/>
        <v>49222.975000000006</v>
      </c>
      <c r="Q35" s="67">
        <f t="shared" si="27"/>
        <v>37866.860999999997</v>
      </c>
      <c r="R35" s="67">
        <f t="shared" si="27"/>
        <v>33632.445</v>
      </c>
      <c r="S35" s="67">
        <f t="shared" si="27"/>
        <v>34495.373</v>
      </c>
      <c r="T35" s="67">
        <f t="shared" si="27"/>
        <v>39125.961000000003</v>
      </c>
      <c r="U35" s="67">
        <f t="shared" si="27"/>
        <v>42211.781999999999</v>
      </c>
      <c r="V35" s="67">
        <f t="shared" si="27"/>
        <v>60284.996999999996</v>
      </c>
      <c r="W35" s="67">
        <f t="shared" si="27"/>
        <v>54890.031999999999</v>
      </c>
      <c r="X35" s="67">
        <f t="shared" si="27"/>
        <v>53105.002</v>
      </c>
      <c r="Y35" s="67">
        <f t="shared" si="27"/>
        <v>40981.061000000009</v>
      </c>
      <c r="Z35" s="67">
        <f t="shared" si="27"/>
        <v>32091.234000000004</v>
      </c>
      <c r="AA35" s="67">
        <f t="shared" si="27"/>
        <v>10190.243</v>
      </c>
      <c r="AB35" s="67">
        <f t="shared" si="27"/>
        <v>27930.921000000002</v>
      </c>
      <c r="AC35" s="67" t="e">
        <f t="shared" si="27"/>
        <v>#REF!</v>
      </c>
      <c r="AD35" s="67">
        <f t="shared" si="27"/>
        <v>22270.365000000002</v>
      </c>
      <c r="AE35" s="67">
        <f t="shared" si="27"/>
        <v>0</v>
      </c>
      <c r="AF35" s="67">
        <f t="shared" si="27"/>
        <v>31826.580000000005</v>
      </c>
      <c r="AG35" s="67">
        <f t="shared" si="27"/>
        <v>0</v>
      </c>
      <c r="AH35" s="72"/>
      <c r="AI35" s="24"/>
    </row>
    <row r="36" spans="1:35" s="26" customFormat="1" ht="37.5" customHeight="1" x14ac:dyDescent="0.25">
      <c r="A36" s="540"/>
      <c r="B36" s="528"/>
      <c r="C36" s="124" t="s">
        <v>113</v>
      </c>
      <c r="D36" s="74">
        <f>SUM(J36,L36,N36,P36,R36,T36,V36,X36,Z36,AB36,AD36,AF36)</f>
        <v>26153.665999999997</v>
      </c>
      <c r="E36" s="74">
        <f>J36</f>
        <v>2710.1529999999998</v>
      </c>
      <c r="F36" s="74">
        <f>G36</f>
        <v>15940.546999999999</v>
      </c>
      <c r="G36" s="74">
        <f>SUM(K36,M36,O36,Q36,S36,U36,W36,Y36,AA36,AC36,AE36,AG36)</f>
        <v>15940.546999999999</v>
      </c>
      <c r="H36" s="74">
        <f>IFERROR(G36/D36*100,0)</f>
        <v>60.949570129097772</v>
      </c>
      <c r="I36" s="74">
        <f>IFERROR(G36/E36*100,0)</f>
        <v>588.17885927473469</v>
      </c>
      <c r="J36" s="67">
        <f>J39</f>
        <v>2710.1529999999998</v>
      </c>
      <c r="K36" s="67">
        <f t="shared" ref="K36:AG36" si="28">K39</f>
        <v>723.21100000000001</v>
      </c>
      <c r="L36" s="67">
        <f t="shared" si="28"/>
        <v>2057.9499999999998</v>
      </c>
      <c r="M36" s="67">
        <f t="shared" si="28"/>
        <v>1192.232</v>
      </c>
      <c r="N36" s="67">
        <f t="shared" si="28"/>
        <v>2533.61</v>
      </c>
      <c r="O36" s="67">
        <f t="shared" si="28"/>
        <v>1597.42</v>
      </c>
      <c r="P36" s="67">
        <f t="shared" si="28"/>
        <v>3624.7489999999998</v>
      </c>
      <c r="Q36" s="67">
        <f t="shared" si="28"/>
        <v>2135.3220000000001</v>
      </c>
      <c r="R36" s="67">
        <f t="shared" si="28"/>
        <v>1684.663</v>
      </c>
      <c r="S36" s="67">
        <f t="shared" si="28"/>
        <v>2157.8910000000001</v>
      </c>
      <c r="T36" s="67">
        <f t="shared" si="28"/>
        <v>1494.242</v>
      </c>
      <c r="U36" s="67">
        <f t="shared" si="28"/>
        <v>2205.3719999999998</v>
      </c>
      <c r="V36" s="67">
        <f t="shared" si="28"/>
        <v>2799.6760000000004</v>
      </c>
      <c r="W36" s="67">
        <f t="shared" si="28"/>
        <v>2488.3389999999999</v>
      </c>
      <c r="X36" s="67">
        <f t="shared" si="28"/>
        <v>1538.8339999999998</v>
      </c>
      <c r="Y36" s="67">
        <f t="shared" si="28"/>
        <v>744.20299999999997</v>
      </c>
      <c r="Z36" s="67">
        <f t="shared" si="28"/>
        <v>1567.144</v>
      </c>
      <c r="AA36" s="67">
        <f t="shared" si="28"/>
        <v>1235.5239999999999</v>
      </c>
      <c r="AB36" s="67">
        <f t="shared" si="28"/>
        <v>2132.1779999999999</v>
      </c>
      <c r="AC36" s="67">
        <f t="shared" si="28"/>
        <v>1461.0329999999999</v>
      </c>
      <c r="AD36" s="67">
        <f t="shared" si="28"/>
        <v>2051.94</v>
      </c>
      <c r="AE36" s="67">
        <f t="shared" si="28"/>
        <v>0</v>
      </c>
      <c r="AF36" s="67">
        <f t="shared" si="28"/>
        <v>1958.5269999999998</v>
      </c>
      <c r="AG36" s="67">
        <f t="shared" si="28"/>
        <v>0</v>
      </c>
      <c r="AH36" s="72"/>
      <c r="AI36" s="24"/>
    </row>
    <row r="37" spans="1:35" s="22" customFormat="1" ht="30.75" customHeight="1" x14ac:dyDescent="0.25">
      <c r="A37" s="545"/>
      <c r="B37" s="555" t="s">
        <v>121</v>
      </c>
      <c r="C37" s="125" t="s">
        <v>20</v>
      </c>
      <c r="D37" s="70">
        <f>D39+D38</f>
        <v>565106.76599999995</v>
      </c>
      <c r="E37" s="58">
        <f t="shared" ref="E37:G37" si="29">E39+E38</f>
        <v>22309.550999999999</v>
      </c>
      <c r="F37" s="58" t="e">
        <f t="shared" si="29"/>
        <v>#REF!</v>
      </c>
      <c r="G37" s="58" t="e">
        <f t="shared" si="29"/>
        <v>#REF!</v>
      </c>
      <c r="H37" s="58">
        <f t="shared" ref="H37" si="30">IFERROR(G37/D37*100,0)</f>
        <v>0</v>
      </c>
      <c r="I37" s="58">
        <f t="shared" ref="I37" si="31">IFERROR(G37/E37*100,0)</f>
        <v>0</v>
      </c>
      <c r="J37" s="59">
        <f>J39+J38</f>
        <v>22309.550999999999</v>
      </c>
      <c r="K37" s="59">
        <f t="shared" ref="K37:AG37" si="32">K39+K38</f>
        <v>9909.5429999999978</v>
      </c>
      <c r="L37" s="59">
        <f t="shared" si="32"/>
        <v>34023.966</v>
      </c>
      <c r="M37" s="59">
        <f t="shared" si="32"/>
        <v>27800.396000000001</v>
      </c>
      <c r="N37" s="59">
        <f t="shared" si="32"/>
        <v>153621.98099999997</v>
      </c>
      <c r="O37" s="59">
        <f t="shared" si="32"/>
        <v>100612.95899999999</v>
      </c>
      <c r="P37" s="59">
        <f t="shared" si="32"/>
        <v>45131.784</v>
      </c>
      <c r="Q37" s="59">
        <f t="shared" si="32"/>
        <v>36963.214</v>
      </c>
      <c r="R37" s="59">
        <f t="shared" si="32"/>
        <v>33897.108</v>
      </c>
      <c r="S37" s="59">
        <f t="shared" si="32"/>
        <v>36335.264000000003</v>
      </c>
      <c r="T37" s="59">
        <f t="shared" si="32"/>
        <v>40620.203000000001</v>
      </c>
      <c r="U37" s="71">
        <f t="shared" si="32"/>
        <v>42732.774000000005</v>
      </c>
      <c r="V37" s="59">
        <f t="shared" si="32"/>
        <v>63084.672999999995</v>
      </c>
      <c r="W37" s="59">
        <f t="shared" si="32"/>
        <v>56066.468000000001</v>
      </c>
      <c r="X37" s="59">
        <f t="shared" si="32"/>
        <v>53149.036</v>
      </c>
      <c r="Y37" s="59">
        <f t="shared" si="32"/>
        <v>40804.894000000008</v>
      </c>
      <c r="Z37" s="59">
        <f t="shared" si="32"/>
        <v>33630.853000000003</v>
      </c>
      <c r="AA37" s="59">
        <f t="shared" si="32"/>
        <v>11425.767</v>
      </c>
      <c r="AB37" s="59">
        <f t="shared" si="32"/>
        <v>27658.899000000001</v>
      </c>
      <c r="AC37" s="59" t="e">
        <f t="shared" si="32"/>
        <v>#REF!</v>
      </c>
      <c r="AD37" s="59">
        <f t="shared" si="32"/>
        <v>24322.305</v>
      </c>
      <c r="AE37" s="59">
        <f t="shared" si="32"/>
        <v>0</v>
      </c>
      <c r="AF37" s="59">
        <f t="shared" si="32"/>
        <v>33656.407000000007</v>
      </c>
      <c r="AG37" s="59">
        <f t="shared" si="32"/>
        <v>0</v>
      </c>
      <c r="AH37" s="60"/>
      <c r="AI37" s="20"/>
    </row>
    <row r="38" spans="1:35" s="22" customFormat="1" ht="54" customHeight="1" x14ac:dyDescent="0.25">
      <c r="A38" s="546"/>
      <c r="B38" s="556"/>
      <c r="C38" s="126" t="s">
        <v>21</v>
      </c>
      <c r="D38" s="74">
        <f>SUM(J38,L38,N38,P38,R38,T38,V38,X38,Z38,AB38,AD38,AF38)</f>
        <v>538953.1</v>
      </c>
      <c r="E38" s="62">
        <f>J38</f>
        <v>19599.398000000001</v>
      </c>
      <c r="F38" s="62" t="e">
        <f>G38</f>
        <v>#REF!</v>
      </c>
      <c r="G38" s="62" t="e">
        <f>SUM(K38,M38,O38,Q38,S38,U38,W38,Y38,AA38,AC38,AE38,AG38)</f>
        <v>#REF!</v>
      </c>
      <c r="H38" s="62">
        <f>IFERROR(G38/D38*100,0)</f>
        <v>0</v>
      </c>
      <c r="I38" s="62">
        <f>IFERROR(G38/E38*100,0)</f>
        <v>0</v>
      </c>
      <c r="J38" s="63">
        <f t="shared" ref="J38:AG38" si="33">J41+J44+J46+J48+J51+J53+J55+J57+J59+J62+J64+J66</f>
        <v>19599.398000000001</v>
      </c>
      <c r="K38" s="63">
        <f t="shared" si="33"/>
        <v>9186.3319999999985</v>
      </c>
      <c r="L38" s="63">
        <f t="shared" si="33"/>
        <v>31966.016</v>
      </c>
      <c r="M38" s="63">
        <f t="shared" si="33"/>
        <v>26608.164000000001</v>
      </c>
      <c r="N38" s="63">
        <f t="shared" si="33"/>
        <v>151088.37099999998</v>
      </c>
      <c r="O38" s="63">
        <f t="shared" si="33"/>
        <v>99015.53899999999</v>
      </c>
      <c r="P38" s="63">
        <f t="shared" si="33"/>
        <v>41507.035000000003</v>
      </c>
      <c r="Q38" s="63">
        <f t="shared" si="33"/>
        <v>34827.892</v>
      </c>
      <c r="R38" s="63">
        <f t="shared" si="33"/>
        <v>32212.445</v>
      </c>
      <c r="S38" s="63">
        <f t="shared" si="33"/>
        <v>34177.373</v>
      </c>
      <c r="T38" s="63">
        <f t="shared" si="33"/>
        <v>39125.961000000003</v>
      </c>
      <c r="U38" s="67">
        <f t="shared" si="33"/>
        <v>40527.402000000002</v>
      </c>
      <c r="V38" s="63">
        <f t="shared" si="33"/>
        <v>60284.996999999996</v>
      </c>
      <c r="W38" s="63">
        <f t="shared" si="33"/>
        <v>53578.129000000001</v>
      </c>
      <c r="X38" s="63">
        <f t="shared" si="33"/>
        <v>51610.201999999997</v>
      </c>
      <c r="Y38" s="63">
        <f t="shared" si="33"/>
        <v>40060.691000000006</v>
      </c>
      <c r="Z38" s="63">
        <f t="shared" si="33"/>
        <v>32063.709000000003</v>
      </c>
      <c r="AA38" s="63">
        <f t="shared" si="33"/>
        <v>10190.243</v>
      </c>
      <c r="AB38" s="63">
        <f t="shared" si="33"/>
        <v>25526.721000000001</v>
      </c>
      <c r="AC38" s="63" t="e">
        <f t="shared" si="33"/>
        <v>#REF!</v>
      </c>
      <c r="AD38" s="63">
        <f t="shared" si="33"/>
        <v>22270.365000000002</v>
      </c>
      <c r="AE38" s="63">
        <f t="shared" si="33"/>
        <v>0</v>
      </c>
      <c r="AF38" s="63">
        <f t="shared" si="33"/>
        <v>31697.880000000005</v>
      </c>
      <c r="AG38" s="63">
        <f t="shared" si="33"/>
        <v>0</v>
      </c>
      <c r="AH38" s="60"/>
      <c r="AI38" s="20"/>
    </row>
    <row r="39" spans="1:35" s="22" customFormat="1" ht="46.5" customHeight="1" x14ac:dyDescent="0.25">
      <c r="A39" s="540"/>
      <c r="B39" s="556"/>
      <c r="C39" s="126" t="s">
        <v>113</v>
      </c>
      <c r="D39" s="74">
        <f>SUM(J39,L39,N39,P39,R39,T39,V39,X39,Z39,AB39,AD39,AF39)</f>
        <v>26153.665999999997</v>
      </c>
      <c r="E39" s="62">
        <f>J39</f>
        <v>2710.1529999999998</v>
      </c>
      <c r="F39" s="62">
        <f>G39</f>
        <v>15940.546999999999</v>
      </c>
      <c r="G39" s="62">
        <f>SUM(K39,M39,O39,Q39,S39,U39,W39,Y39,AA39,AC39,AE39,AG39)</f>
        <v>15940.546999999999</v>
      </c>
      <c r="H39" s="62">
        <f>IFERROR(G39/D39*100,0)</f>
        <v>60.949570129097772</v>
      </c>
      <c r="I39" s="62">
        <f>IFERROR(G39/E39*100,0)</f>
        <v>588.17885927473469</v>
      </c>
      <c r="J39" s="63">
        <f>J42+J49+J60</f>
        <v>2710.1529999999998</v>
      </c>
      <c r="K39" s="63">
        <f t="shared" ref="K39:AG39" si="34">K42+K49+K60</f>
        <v>723.21100000000001</v>
      </c>
      <c r="L39" s="63">
        <f t="shared" si="34"/>
        <v>2057.9499999999998</v>
      </c>
      <c r="M39" s="63">
        <f t="shared" si="34"/>
        <v>1192.232</v>
      </c>
      <c r="N39" s="63">
        <f t="shared" si="34"/>
        <v>2533.61</v>
      </c>
      <c r="O39" s="63">
        <f t="shared" si="34"/>
        <v>1597.42</v>
      </c>
      <c r="P39" s="63">
        <f t="shared" si="34"/>
        <v>3624.7489999999998</v>
      </c>
      <c r="Q39" s="63">
        <f t="shared" si="34"/>
        <v>2135.3220000000001</v>
      </c>
      <c r="R39" s="63">
        <f t="shared" si="34"/>
        <v>1684.663</v>
      </c>
      <c r="S39" s="63">
        <f t="shared" si="34"/>
        <v>2157.8910000000001</v>
      </c>
      <c r="T39" s="63">
        <f t="shared" si="34"/>
        <v>1494.242</v>
      </c>
      <c r="U39" s="67">
        <f t="shared" si="34"/>
        <v>2205.3719999999998</v>
      </c>
      <c r="V39" s="63">
        <f t="shared" si="34"/>
        <v>2799.6760000000004</v>
      </c>
      <c r="W39" s="63">
        <f t="shared" si="34"/>
        <v>2488.3389999999999</v>
      </c>
      <c r="X39" s="63">
        <f t="shared" si="34"/>
        <v>1538.8339999999998</v>
      </c>
      <c r="Y39" s="63">
        <f t="shared" si="34"/>
        <v>744.20299999999997</v>
      </c>
      <c r="Z39" s="63">
        <f t="shared" si="34"/>
        <v>1567.144</v>
      </c>
      <c r="AA39" s="63">
        <f t="shared" si="34"/>
        <v>1235.5239999999999</v>
      </c>
      <c r="AB39" s="63">
        <f t="shared" si="34"/>
        <v>2132.1779999999999</v>
      </c>
      <c r="AC39" s="63">
        <f t="shared" si="34"/>
        <v>1461.0329999999999</v>
      </c>
      <c r="AD39" s="63">
        <f t="shared" si="34"/>
        <v>2051.94</v>
      </c>
      <c r="AE39" s="63">
        <f t="shared" si="34"/>
        <v>0</v>
      </c>
      <c r="AF39" s="63">
        <f t="shared" si="34"/>
        <v>1958.5269999999998</v>
      </c>
      <c r="AG39" s="63">
        <f t="shared" si="34"/>
        <v>0</v>
      </c>
      <c r="AH39" s="60"/>
      <c r="AI39" s="20"/>
    </row>
    <row r="40" spans="1:35" s="22" customFormat="1" ht="86.25" customHeight="1" x14ac:dyDescent="0.25">
      <c r="A40" s="558"/>
      <c r="B40" s="561" t="s">
        <v>122</v>
      </c>
      <c r="C40" s="126" t="s">
        <v>20</v>
      </c>
      <c r="D40" s="74">
        <f>D42+D41</f>
        <v>77132.188999999984</v>
      </c>
      <c r="E40" s="62">
        <f t="shared" ref="E40:G40" si="35">E42+E41</f>
        <v>51600.148999999998</v>
      </c>
      <c r="F40" s="62">
        <f t="shared" si="35"/>
        <v>48309.789999999994</v>
      </c>
      <c r="G40" s="62">
        <f t="shared" si="35"/>
        <v>48309.789999999994</v>
      </c>
      <c r="H40" s="62">
        <f t="shared" ref="H40" si="36">IFERROR(G40/D40*100,0)</f>
        <v>62.632463341601785</v>
      </c>
      <c r="I40" s="62">
        <f t="shared" ref="I40" si="37">IFERROR(G40/E40*100,0)</f>
        <v>93.62335368450195</v>
      </c>
      <c r="J40" s="63">
        <f>J42+J41</f>
        <v>2603.6200000000003</v>
      </c>
      <c r="K40" s="63">
        <f t="shared" ref="K40:AG40" si="38">K42+K41</f>
        <v>1503.18</v>
      </c>
      <c r="L40" s="63">
        <f t="shared" si="38"/>
        <v>6359.4</v>
      </c>
      <c r="M40" s="63">
        <f t="shared" si="38"/>
        <v>6138.69</v>
      </c>
      <c r="N40" s="63">
        <f t="shared" si="38"/>
        <v>6037.94</v>
      </c>
      <c r="O40" s="63">
        <f t="shared" si="38"/>
        <v>5551.11</v>
      </c>
      <c r="P40" s="63">
        <f t="shared" si="38"/>
        <v>6066.66</v>
      </c>
      <c r="Q40" s="63">
        <f t="shared" si="38"/>
        <v>7279.78</v>
      </c>
      <c r="R40" s="63">
        <f t="shared" si="38"/>
        <v>8133.8389999999999</v>
      </c>
      <c r="S40" s="63">
        <f t="shared" si="38"/>
        <v>7645.8600000000006</v>
      </c>
      <c r="T40" s="63">
        <f t="shared" si="38"/>
        <v>7865.17</v>
      </c>
      <c r="U40" s="67">
        <f t="shared" si="38"/>
        <v>7121.1100000000006</v>
      </c>
      <c r="V40" s="63">
        <f t="shared" si="38"/>
        <v>7865.16</v>
      </c>
      <c r="W40" s="63">
        <f t="shared" si="38"/>
        <v>7113.32</v>
      </c>
      <c r="X40" s="63">
        <f t="shared" si="38"/>
        <v>6668.36</v>
      </c>
      <c r="Y40" s="63">
        <f t="shared" si="38"/>
        <v>5956.74</v>
      </c>
      <c r="Z40" s="63">
        <f t="shared" si="38"/>
        <v>6041.02</v>
      </c>
      <c r="AA40" s="63">
        <f t="shared" si="38"/>
        <v>0</v>
      </c>
      <c r="AB40" s="63">
        <f t="shared" si="38"/>
        <v>5257.22</v>
      </c>
      <c r="AC40" s="63">
        <f t="shared" si="38"/>
        <v>0</v>
      </c>
      <c r="AD40" s="63">
        <f t="shared" si="38"/>
        <v>5191.72</v>
      </c>
      <c r="AE40" s="63">
        <f t="shared" si="38"/>
        <v>0</v>
      </c>
      <c r="AF40" s="63">
        <f t="shared" si="38"/>
        <v>9042.08</v>
      </c>
      <c r="AG40" s="63">
        <f t="shared" si="38"/>
        <v>0</v>
      </c>
      <c r="AH40" s="422" t="s">
        <v>390</v>
      </c>
      <c r="AI40" s="20"/>
    </row>
    <row r="41" spans="1:35" s="22" customFormat="1" ht="33.75" customHeight="1" x14ac:dyDescent="0.25">
      <c r="A41" s="559"/>
      <c r="B41" s="562"/>
      <c r="C41" s="126" t="s">
        <v>21</v>
      </c>
      <c r="D41" s="74">
        <f>SUM(J41,L41,N41,P41,R41,T41,V41,X41,Z41,AB41,AD41,AF41)</f>
        <v>77044.89899999999</v>
      </c>
      <c r="E41" s="62">
        <f>J41+L41+N41+P41+R41+T41+V41+X41</f>
        <v>51515.589</v>
      </c>
      <c r="F41" s="62">
        <f>G41</f>
        <v>48262.59</v>
      </c>
      <c r="G41" s="62">
        <f>SUM(K41,M41,O41,Q41,S41,U41,W41,Y41,AA41,AC41,AE41,AG41)</f>
        <v>48262.59</v>
      </c>
      <c r="H41" s="62">
        <f>IFERROR(G41/D41*100,0)</f>
        <v>62.642161423302021</v>
      </c>
      <c r="I41" s="62">
        <f>IFERROR(G41/E41*100,0)</f>
        <v>93.685408508092564</v>
      </c>
      <c r="J41" s="63">
        <v>2602.3000000000002</v>
      </c>
      <c r="K41" s="63">
        <v>1502.18</v>
      </c>
      <c r="L41" s="63">
        <v>6342.9</v>
      </c>
      <c r="M41" s="63">
        <v>6137.73</v>
      </c>
      <c r="N41" s="63">
        <v>6027.2</v>
      </c>
      <c r="O41" s="63">
        <v>5540.2</v>
      </c>
      <c r="P41" s="63">
        <v>6045</v>
      </c>
      <c r="Q41" s="63">
        <v>7274.08</v>
      </c>
      <c r="R41" s="63">
        <v>8132.7889999999998</v>
      </c>
      <c r="S41" s="63">
        <v>7636.09</v>
      </c>
      <c r="T41" s="63">
        <v>7864.5</v>
      </c>
      <c r="U41" s="67">
        <v>7112.22</v>
      </c>
      <c r="V41" s="63">
        <v>7835.9</v>
      </c>
      <c r="W41" s="63">
        <v>7111.88</v>
      </c>
      <c r="X41" s="63">
        <v>6665</v>
      </c>
      <c r="Y41" s="63">
        <v>5948.21</v>
      </c>
      <c r="Z41" s="63">
        <v>6040.3</v>
      </c>
      <c r="AA41" s="63">
        <v>0</v>
      </c>
      <c r="AB41" s="63">
        <v>5256.5</v>
      </c>
      <c r="AC41" s="63">
        <v>0</v>
      </c>
      <c r="AD41" s="63">
        <v>5191</v>
      </c>
      <c r="AE41" s="63">
        <v>0</v>
      </c>
      <c r="AF41" s="63">
        <v>9041.51</v>
      </c>
      <c r="AG41" s="63">
        <v>0</v>
      </c>
      <c r="AH41" s="64"/>
      <c r="AI41" s="20"/>
    </row>
    <row r="42" spans="1:35" s="22" customFormat="1" ht="28.5" customHeight="1" x14ac:dyDescent="0.25">
      <c r="A42" s="560"/>
      <c r="B42" s="563"/>
      <c r="C42" s="126" t="s">
        <v>113</v>
      </c>
      <c r="D42" s="74">
        <f>SUM(J42,L42,N42,P42,R42,T42,V42,X42,Z42,AB42,AD42,AF42)</f>
        <v>87.289999999999992</v>
      </c>
      <c r="E42" s="62">
        <f>J42+L42+N42+P42+R42+T42+V42+X42</f>
        <v>84.56</v>
      </c>
      <c r="F42" s="62">
        <f>G42</f>
        <v>47.2</v>
      </c>
      <c r="G42" s="62">
        <f>SUM(K42,M42,O42,Q42,S42,U42,W42,Y42,AA42,AC42,AE42,AG42)</f>
        <v>47.2</v>
      </c>
      <c r="H42" s="62">
        <f>IFERROR(G42/D42*100,0)</f>
        <v>54.072631458357215</v>
      </c>
      <c r="I42" s="62">
        <f>IFERROR(G42/E42*100,0)</f>
        <v>55.818353831598863</v>
      </c>
      <c r="J42" s="63">
        <v>1.32</v>
      </c>
      <c r="K42" s="63">
        <v>1</v>
      </c>
      <c r="L42" s="63">
        <v>16.5</v>
      </c>
      <c r="M42" s="63">
        <v>0.96</v>
      </c>
      <c r="N42" s="63">
        <v>10.74</v>
      </c>
      <c r="O42" s="63">
        <v>10.91</v>
      </c>
      <c r="P42" s="63">
        <v>21.66</v>
      </c>
      <c r="Q42" s="63">
        <v>5.7</v>
      </c>
      <c r="R42" s="63">
        <v>1.05</v>
      </c>
      <c r="S42" s="63">
        <v>9.77</v>
      </c>
      <c r="T42" s="63">
        <v>0.67</v>
      </c>
      <c r="U42" s="67">
        <v>8.89</v>
      </c>
      <c r="V42" s="63">
        <v>29.26</v>
      </c>
      <c r="W42" s="63">
        <v>1.44</v>
      </c>
      <c r="X42" s="63">
        <v>3.36</v>
      </c>
      <c r="Y42" s="63">
        <v>8.5299999999999994</v>
      </c>
      <c r="Z42" s="63">
        <v>0.72</v>
      </c>
      <c r="AA42" s="63">
        <v>0</v>
      </c>
      <c r="AB42" s="63">
        <v>0.72</v>
      </c>
      <c r="AC42" s="63">
        <v>0</v>
      </c>
      <c r="AD42" s="63">
        <v>0.72</v>
      </c>
      <c r="AE42" s="63">
        <v>0</v>
      </c>
      <c r="AF42" s="63">
        <v>0.56999999999999995</v>
      </c>
      <c r="AG42" s="63">
        <v>0</v>
      </c>
      <c r="AH42" s="64"/>
      <c r="AI42" s="20"/>
    </row>
    <row r="43" spans="1:35" s="22" customFormat="1" ht="27" customHeight="1" x14ac:dyDescent="0.25">
      <c r="A43" s="117"/>
      <c r="B43" s="557" t="s">
        <v>123</v>
      </c>
      <c r="C43" s="126" t="s">
        <v>20</v>
      </c>
      <c r="D43" s="74">
        <f t="shared" ref="D43:E43" si="39">D44</f>
        <v>707.5</v>
      </c>
      <c r="E43" s="62">
        <f t="shared" si="39"/>
        <v>707.5</v>
      </c>
      <c r="F43" s="62">
        <f t="shared" ref="F43:F45" si="40">G43</f>
        <v>707.5</v>
      </c>
      <c r="G43" s="62">
        <f>G44</f>
        <v>707.5</v>
      </c>
      <c r="H43" s="62">
        <f t="shared" ref="H43:H47" si="41">IFERROR(G43/D43*100,0)</f>
        <v>100</v>
      </c>
      <c r="I43" s="62">
        <f t="shared" ref="I43:I47" si="42">IFERROR(G43/E43*100,0)</f>
        <v>100</v>
      </c>
      <c r="J43" s="62">
        <f t="shared" ref="J43:AG43" si="43">J44</f>
        <v>0</v>
      </c>
      <c r="K43" s="62">
        <f t="shared" si="43"/>
        <v>0</v>
      </c>
      <c r="L43" s="62">
        <f t="shared" si="43"/>
        <v>200</v>
      </c>
      <c r="M43" s="62">
        <f t="shared" si="43"/>
        <v>200</v>
      </c>
      <c r="N43" s="62">
        <f t="shared" si="43"/>
        <v>250</v>
      </c>
      <c r="O43" s="62">
        <f t="shared" si="43"/>
        <v>250</v>
      </c>
      <c r="P43" s="62">
        <f t="shared" si="43"/>
        <v>0</v>
      </c>
      <c r="Q43" s="62">
        <f t="shared" si="43"/>
        <v>0</v>
      </c>
      <c r="R43" s="62">
        <f t="shared" si="43"/>
        <v>0</v>
      </c>
      <c r="S43" s="62">
        <f t="shared" si="43"/>
        <v>0</v>
      </c>
      <c r="T43" s="62">
        <f t="shared" si="43"/>
        <v>257.5</v>
      </c>
      <c r="U43" s="74">
        <f t="shared" si="43"/>
        <v>257.5</v>
      </c>
      <c r="V43" s="62">
        <f t="shared" si="43"/>
        <v>0</v>
      </c>
      <c r="W43" s="62">
        <f t="shared" si="43"/>
        <v>0</v>
      </c>
      <c r="X43" s="62">
        <f t="shared" si="43"/>
        <v>0</v>
      </c>
      <c r="Y43" s="62">
        <f t="shared" si="43"/>
        <v>0</v>
      </c>
      <c r="Z43" s="62">
        <f t="shared" si="43"/>
        <v>0</v>
      </c>
      <c r="AA43" s="62">
        <f t="shared" si="43"/>
        <v>0</v>
      </c>
      <c r="AB43" s="62">
        <f t="shared" si="43"/>
        <v>0</v>
      </c>
      <c r="AC43" s="62">
        <f t="shared" si="43"/>
        <v>0</v>
      </c>
      <c r="AD43" s="62">
        <f t="shared" si="43"/>
        <v>0</v>
      </c>
      <c r="AE43" s="62">
        <f t="shared" si="43"/>
        <v>0</v>
      </c>
      <c r="AF43" s="62">
        <f t="shared" si="43"/>
        <v>0</v>
      </c>
      <c r="AG43" s="62">
        <f t="shared" si="43"/>
        <v>0</v>
      </c>
      <c r="AH43" s="64"/>
      <c r="AI43" s="20"/>
    </row>
    <row r="44" spans="1:35" s="22" customFormat="1" ht="33.75" customHeight="1" x14ac:dyDescent="0.25">
      <c r="A44" s="117"/>
      <c r="B44" s="557"/>
      <c r="C44" s="126" t="s">
        <v>21</v>
      </c>
      <c r="D44" s="74">
        <f t="shared" ref="D44" si="44">SUM(J44,L44,N44,P44,R44,T44,V44,X44,Z44,AB44,AD44,AF44)</f>
        <v>707.5</v>
      </c>
      <c r="E44" s="62">
        <f>J44+L44+N44+P44+R44+T44+V44+X44</f>
        <v>707.5</v>
      </c>
      <c r="F44" s="62">
        <f t="shared" si="40"/>
        <v>707.5</v>
      </c>
      <c r="G44" s="62">
        <f t="shared" ref="G44" si="45">SUM(K44,M44,O44,Q44,S44,U44,W44,Y44,AA44,AC44,AE44,AG44)</f>
        <v>707.5</v>
      </c>
      <c r="H44" s="62">
        <f t="shared" si="41"/>
        <v>100</v>
      </c>
      <c r="I44" s="62">
        <f t="shared" si="42"/>
        <v>100</v>
      </c>
      <c r="J44" s="63">
        <v>0</v>
      </c>
      <c r="K44" s="63">
        <v>0</v>
      </c>
      <c r="L44" s="63">
        <v>200</v>
      </c>
      <c r="M44" s="63">
        <v>200</v>
      </c>
      <c r="N44" s="63">
        <v>250</v>
      </c>
      <c r="O44" s="63">
        <v>250</v>
      </c>
      <c r="P44" s="63">
        <v>0</v>
      </c>
      <c r="Q44" s="63">
        <v>0</v>
      </c>
      <c r="R44" s="63">
        <v>0</v>
      </c>
      <c r="S44" s="63">
        <v>0</v>
      </c>
      <c r="T44" s="63">
        <v>257.5</v>
      </c>
      <c r="U44" s="67">
        <v>257.5</v>
      </c>
      <c r="V44" s="63">
        <v>0</v>
      </c>
      <c r="W44" s="63">
        <v>0</v>
      </c>
      <c r="X44" s="63">
        <v>0</v>
      </c>
      <c r="Y44" s="63">
        <v>0</v>
      </c>
      <c r="Z44" s="63">
        <v>0</v>
      </c>
      <c r="AA44" s="63">
        <v>0</v>
      </c>
      <c r="AB44" s="63">
        <v>0</v>
      </c>
      <c r="AC44" s="63">
        <v>0</v>
      </c>
      <c r="AD44" s="63">
        <v>0</v>
      </c>
      <c r="AE44" s="63">
        <v>0</v>
      </c>
      <c r="AF44" s="63">
        <v>0</v>
      </c>
      <c r="AG44" s="63">
        <v>0</v>
      </c>
      <c r="AH44" s="64"/>
      <c r="AI44" s="20"/>
    </row>
    <row r="45" spans="1:35" s="22" customFormat="1" ht="51.75" customHeight="1" x14ac:dyDescent="0.25">
      <c r="A45" s="117"/>
      <c r="B45" s="557" t="s">
        <v>124</v>
      </c>
      <c r="C45" s="126" t="s">
        <v>20</v>
      </c>
      <c r="D45" s="74">
        <f t="shared" ref="D45:E45" si="46">D46</f>
        <v>144.60000000000002</v>
      </c>
      <c r="E45" s="62">
        <f t="shared" si="46"/>
        <v>144.60000000000002</v>
      </c>
      <c r="F45" s="62">
        <f t="shared" si="40"/>
        <v>116.42</v>
      </c>
      <c r="G45" s="62">
        <f>G46</f>
        <v>116.42</v>
      </c>
      <c r="H45" s="62">
        <f t="shared" si="41"/>
        <v>80.511756569847847</v>
      </c>
      <c r="I45" s="62">
        <f t="shared" si="42"/>
        <v>80.511756569847847</v>
      </c>
      <c r="J45" s="62">
        <f t="shared" ref="J45:AG45" si="47">J46</f>
        <v>0</v>
      </c>
      <c r="K45" s="62">
        <f t="shared" si="47"/>
        <v>0</v>
      </c>
      <c r="L45" s="62">
        <f t="shared" si="47"/>
        <v>44.45</v>
      </c>
      <c r="M45" s="62">
        <f t="shared" si="47"/>
        <v>0</v>
      </c>
      <c r="N45" s="62">
        <f t="shared" si="47"/>
        <v>100.15</v>
      </c>
      <c r="O45" s="62">
        <f>O46</f>
        <v>12.23</v>
      </c>
      <c r="P45" s="62">
        <f t="shared" si="47"/>
        <v>0</v>
      </c>
      <c r="Q45" s="62">
        <f t="shared" si="47"/>
        <v>90.82</v>
      </c>
      <c r="R45" s="62">
        <f t="shared" si="47"/>
        <v>0</v>
      </c>
      <c r="S45" s="62">
        <f t="shared" si="47"/>
        <v>13.37</v>
      </c>
      <c r="T45" s="62">
        <f t="shared" si="47"/>
        <v>0</v>
      </c>
      <c r="U45" s="74">
        <f t="shared" si="47"/>
        <v>0</v>
      </c>
      <c r="V45" s="62">
        <f t="shared" si="47"/>
        <v>0</v>
      </c>
      <c r="W45" s="62">
        <f t="shared" si="47"/>
        <v>0</v>
      </c>
      <c r="X45" s="62">
        <f t="shared" si="47"/>
        <v>0</v>
      </c>
      <c r="Y45" s="62">
        <f t="shared" si="47"/>
        <v>0</v>
      </c>
      <c r="Z45" s="62">
        <f t="shared" si="47"/>
        <v>0</v>
      </c>
      <c r="AA45" s="62">
        <f t="shared" si="47"/>
        <v>0</v>
      </c>
      <c r="AB45" s="62">
        <f t="shared" si="47"/>
        <v>0</v>
      </c>
      <c r="AC45" s="62">
        <f t="shared" si="47"/>
        <v>0</v>
      </c>
      <c r="AD45" s="62">
        <f t="shared" si="47"/>
        <v>0</v>
      </c>
      <c r="AE45" s="62">
        <f t="shared" si="47"/>
        <v>0</v>
      </c>
      <c r="AF45" s="62">
        <f t="shared" si="47"/>
        <v>0</v>
      </c>
      <c r="AG45" s="62">
        <f t="shared" si="47"/>
        <v>0</v>
      </c>
      <c r="AH45" s="299" t="s">
        <v>373</v>
      </c>
      <c r="AI45" s="20"/>
    </row>
    <row r="46" spans="1:35" s="22" customFormat="1" ht="37.5" customHeight="1" x14ac:dyDescent="0.25">
      <c r="A46" s="117"/>
      <c r="B46" s="557"/>
      <c r="C46" s="126" t="s">
        <v>21</v>
      </c>
      <c r="D46" s="74">
        <f t="shared" ref="D46" si="48">SUM(J46,L46,N46,P46,R46,T46,V46,X46,Z46,AB46,AD46,AF46)</f>
        <v>144.60000000000002</v>
      </c>
      <c r="E46" s="62">
        <f>J46+L46+N46</f>
        <v>144.60000000000002</v>
      </c>
      <c r="F46" s="62">
        <v>144.6</v>
      </c>
      <c r="G46" s="62">
        <f t="shared" ref="G46" si="49">SUM(K46,M46,O46,Q46,S46,U46,W46,Y46,AA46,AC46,AE46,AG46)</f>
        <v>116.42</v>
      </c>
      <c r="H46" s="62">
        <f t="shared" si="41"/>
        <v>80.511756569847847</v>
      </c>
      <c r="I46" s="62">
        <f t="shared" si="42"/>
        <v>80.511756569847847</v>
      </c>
      <c r="J46" s="63">
        <v>0</v>
      </c>
      <c r="K46" s="63">
        <v>0</v>
      </c>
      <c r="L46" s="63">
        <v>44.45</v>
      </c>
      <c r="M46" s="63">
        <v>0</v>
      </c>
      <c r="N46" s="63">
        <v>100.15</v>
      </c>
      <c r="O46" s="63">
        <v>12.23</v>
      </c>
      <c r="P46" s="63">
        <v>0</v>
      </c>
      <c r="Q46" s="63">
        <v>90.82</v>
      </c>
      <c r="R46" s="63">
        <v>0</v>
      </c>
      <c r="S46" s="63">
        <v>13.37</v>
      </c>
      <c r="T46" s="63">
        <v>0</v>
      </c>
      <c r="U46" s="67">
        <v>0</v>
      </c>
      <c r="V46" s="63">
        <v>0</v>
      </c>
      <c r="W46" s="63">
        <v>0</v>
      </c>
      <c r="X46" s="63">
        <v>0</v>
      </c>
      <c r="Y46" s="63">
        <v>0</v>
      </c>
      <c r="Z46" s="63">
        <v>0</v>
      </c>
      <c r="AA46" s="63">
        <v>0</v>
      </c>
      <c r="AB46" s="63">
        <v>0</v>
      </c>
      <c r="AC46" s="63">
        <v>0</v>
      </c>
      <c r="AD46" s="63">
        <v>0</v>
      </c>
      <c r="AE46" s="63">
        <v>0</v>
      </c>
      <c r="AF46" s="63">
        <v>0</v>
      </c>
      <c r="AG46" s="63">
        <v>0</v>
      </c>
      <c r="AH46" s="64"/>
      <c r="AI46" s="20"/>
    </row>
    <row r="47" spans="1:35" s="22" customFormat="1" ht="71.25" customHeight="1" x14ac:dyDescent="0.25">
      <c r="A47" s="558"/>
      <c r="B47" s="561" t="s">
        <v>125</v>
      </c>
      <c r="C47" s="126" t="s">
        <v>20</v>
      </c>
      <c r="D47" s="74">
        <f>D49+D48</f>
        <v>84674.376999999993</v>
      </c>
      <c r="E47" s="62">
        <f t="shared" ref="E47:G47" si="50">E49+E48</f>
        <v>62139.457999999999</v>
      </c>
      <c r="F47" s="62">
        <f t="shared" si="50"/>
        <v>54381.498</v>
      </c>
      <c r="G47" s="62">
        <f t="shared" si="50"/>
        <v>54381.498</v>
      </c>
      <c r="H47" s="62">
        <f t="shared" si="41"/>
        <v>64.224267041256184</v>
      </c>
      <c r="I47" s="62">
        <f t="shared" si="42"/>
        <v>87.515243534953271</v>
      </c>
      <c r="J47" s="63">
        <f>J49+J48</f>
        <v>7550.9749999999995</v>
      </c>
      <c r="K47" s="63">
        <f t="shared" ref="K47:AG47" si="51">K49+K48</f>
        <v>2438.6909999999998</v>
      </c>
      <c r="L47" s="63">
        <f t="shared" si="51"/>
        <v>7779.5070000000005</v>
      </c>
      <c r="M47" s="63">
        <f t="shared" si="51"/>
        <v>5672.7740000000003</v>
      </c>
      <c r="N47" s="63">
        <f t="shared" si="51"/>
        <v>8421.494999999999</v>
      </c>
      <c r="O47" s="63">
        <f t="shared" si="51"/>
        <v>4946.4349999999995</v>
      </c>
      <c r="P47" s="63">
        <f t="shared" si="51"/>
        <v>7138.4609999999993</v>
      </c>
      <c r="Q47" s="63">
        <f t="shared" si="51"/>
        <v>9771.5190000000002</v>
      </c>
      <c r="R47" s="63">
        <f t="shared" si="51"/>
        <v>8100.7</v>
      </c>
      <c r="S47" s="63">
        <f t="shared" si="51"/>
        <v>8281.3960000000006</v>
      </c>
      <c r="T47" s="63">
        <f t="shared" si="51"/>
        <v>7553.4000000000005</v>
      </c>
      <c r="U47" s="67">
        <f t="shared" si="51"/>
        <v>8962.246000000001</v>
      </c>
      <c r="V47" s="63">
        <f t="shared" si="51"/>
        <v>8051.1409999999996</v>
      </c>
      <c r="W47" s="63">
        <f t="shared" si="51"/>
        <v>8844.8909999999996</v>
      </c>
      <c r="X47" s="63">
        <f t="shared" si="51"/>
        <v>7543.7790000000005</v>
      </c>
      <c r="Y47" s="63">
        <f t="shared" si="51"/>
        <v>5463.5459999999994</v>
      </c>
      <c r="Z47" s="63">
        <f t="shared" si="51"/>
        <v>6865.7</v>
      </c>
      <c r="AA47" s="63">
        <f t="shared" si="51"/>
        <v>0</v>
      </c>
      <c r="AB47" s="63">
        <f t="shared" si="51"/>
        <v>6395.5429999999997</v>
      </c>
      <c r="AC47" s="63">
        <f t="shared" si="51"/>
        <v>0</v>
      </c>
      <c r="AD47" s="63">
        <f t="shared" si="51"/>
        <v>6402.7160000000003</v>
      </c>
      <c r="AE47" s="63">
        <f t="shared" si="51"/>
        <v>0</v>
      </c>
      <c r="AF47" s="63">
        <f t="shared" si="51"/>
        <v>2870.96</v>
      </c>
      <c r="AG47" s="63">
        <f t="shared" si="51"/>
        <v>0</v>
      </c>
      <c r="AH47" s="423" t="s">
        <v>394</v>
      </c>
      <c r="AI47" s="20"/>
    </row>
    <row r="48" spans="1:35" s="22" customFormat="1" ht="33.75" customHeight="1" x14ac:dyDescent="0.25">
      <c r="A48" s="559"/>
      <c r="B48" s="562"/>
      <c r="C48" s="126" t="s">
        <v>21</v>
      </c>
      <c r="D48" s="74">
        <f>SUM(J48,L48,N48,P48,R48,T48,V48,X48,Z48,AB48,AD48,AF48)</f>
        <v>81207.997999999992</v>
      </c>
      <c r="E48" s="62">
        <f>J48+L48+N48+P48+R48+T48+V48+X48</f>
        <v>59520.299999999996</v>
      </c>
      <c r="F48" s="62">
        <f>G48</f>
        <v>52162.873</v>
      </c>
      <c r="G48" s="62">
        <f>SUM(K48,M48,O48,Q48,S48,U48,W48,Y48,AA48,AC48,AE48,AG48)</f>
        <v>52162.873</v>
      </c>
      <c r="H48" s="62">
        <f>IFERROR(G48/D48*100,0)</f>
        <v>64.23366452156597</v>
      </c>
      <c r="I48" s="62">
        <f>IFERROR(G48/E48*100,0)</f>
        <v>87.63879382328382</v>
      </c>
      <c r="J48" s="63">
        <v>7190.2</v>
      </c>
      <c r="K48" s="63">
        <v>2359.2869999999998</v>
      </c>
      <c r="L48" s="63">
        <v>7337.1</v>
      </c>
      <c r="M48" s="63">
        <v>5530.3620000000001</v>
      </c>
      <c r="N48" s="63">
        <v>7798.4</v>
      </c>
      <c r="O48" s="63">
        <v>4736.6809999999996</v>
      </c>
      <c r="P48" s="63">
        <v>6590.2</v>
      </c>
      <c r="Q48" s="63">
        <v>9233.7759999999998</v>
      </c>
      <c r="R48" s="63">
        <v>7965.4</v>
      </c>
      <c r="S48" s="63">
        <v>8087.3879999999999</v>
      </c>
      <c r="T48" s="63">
        <v>7447.6</v>
      </c>
      <c r="U48" s="67">
        <v>8823.3310000000001</v>
      </c>
      <c r="V48" s="63">
        <v>7855.9</v>
      </c>
      <c r="W48" s="63">
        <v>8054.625</v>
      </c>
      <c r="X48" s="63">
        <v>7335.5</v>
      </c>
      <c r="Y48" s="63">
        <v>5337.4229999999998</v>
      </c>
      <c r="Z48" s="63">
        <v>6760.9</v>
      </c>
      <c r="AA48" s="63">
        <v>0</v>
      </c>
      <c r="AB48" s="63">
        <v>6198.902</v>
      </c>
      <c r="AC48" s="63">
        <v>0</v>
      </c>
      <c r="AD48" s="63">
        <v>6093.9660000000003</v>
      </c>
      <c r="AE48" s="63">
        <v>0</v>
      </c>
      <c r="AF48" s="63">
        <v>2633.93</v>
      </c>
      <c r="AG48" s="63">
        <v>0</v>
      </c>
      <c r="AH48" s="64"/>
      <c r="AI48" s="20"/>
    </row>
    <row r="49" spans="1:35" s="22" customFormat="1" ht="28.5" customHeight="1" x14ac:dyDescent="0.25">
      <c r="A49" s="560"/>
      <c r="B49" s="563"/>
      <c r="C49" s="126" t="s">
        <v>113</v>
      </c>
      <c r="D49" s="74">
        <f>SUM(J49,L49,N49,P49,R49,T49,V49,X49,Z49,AB49,AD49,AF49)</f>
        <v>3466.3790000000008</v>
      </c>
      <c r="E49" s="62">
        <f>J49+L49+N49+P49+R49+T49+V49+X49</f>
        <v>2619.1580000000004</v>
      </c>
      <c r="F49" s="62">
        <f>G49</f>
        <v>2218.625</v>
      </c>
      <c r="G49" s="62">
        <f>SUM(K49,M49,O49,Q49,S49,U49,W49,Y49,AA49,AC49,AE49,AG49)</f>
        <v>2218.625</v>
      </c>
      <c r="H49" s="62">
        <f>IFERROR(G49/D49*100,0)</f>
        <v>64.004109187137331</v>
      </c>
      <c r="I49" s="62">
        <f>IFERROR(G49/E49*100,0)</f>
        <v>84.707566324750161</v>
      </c>
      <c r="J49" s="63">
        <v>360.77499999999998</v>
      </c>
      <c r="K49" s="63">
        <v>79.403999999999996</v>
      </c>
      <c r="L49" s="63">
        <v>442.40699999999998</v>
      </c>
      <c r="M49" s="63">
        <v>142.41200000000001</v>
      </c>
      <c r="N49" s="63">
        <v>623.09500000000003</v>
      </c>
      <c r="O49" s="63">
        <v>209.75399999999999</v>
      </c>
      <c r="P49" s="63">
        <v>548.26099999999997</v>
      </c>
      <c r="Q49" s="63">
        <v>537.74300000000005</v>
      </c>
      <c r="R49" s="63">
        <v>135.30000000000001</v>
      </c>
      <c r="S49" s="63">
        <v>194.00800000000001</v>
      </c>
      <c r="T49" s="63">
        <v>105.8</v>
      </c>
      <c r="U49" s="67">
        <v>138.91499999999999</v>
      </c>
      <c r="V49" s="63">
        <v>195.24100000000001</v>
      </c>
      <c r="W49" s="63">
        <v>790.26599999999996</v>
      </c>
      <c r="X49" s="63">
        <v>208.279</v>
      </c>
      <c r="Y49" s="63">
        <v>126.123</v>
      </c>
      <c r="Z49" s="63">
        <v>104.8</v>
      </c>
      <c r="AA49" s="63">
        <v>0</v>
      </c>
      <c r="AB49" s="63">
        <v>196.64099999999999</v>
      </c>
      <c r="AC49" s="63">
        <v>0</v>
      </c>
      <c r="AD49" s="63">
        <v>308.75</v>
      </c>
      <c r="AE49" s="63">
        <v>0</v>
      </c>
      <c r="AF49" s="63">
        <v>237.03</v>
      </c>
      <c r="AG49" s="63">
        <v>0</v>
      </c>
      <c r="AH49" s="380" t="s">
        <v>374</v>
      </c>
      <c r="AI49" s="20"/>
    </row>
    <row r="50" spans="1:35" s="22" customFormat="1" ht="30.75" customHeight="1" x14ac:dyDescent="0.25">
      <c r="A50" s="117"/>
      <c r="B50" s="557" t="s">
        <v>126</v>
      </c>
      <c r="C50" s="126" t="s">
        <v>20</v>
      </c>
      <c r="D50" s="74">
        <f t="shared" ref="D50:E50" si="52">D51</f>
        <v>314.7</v>
      </c>
      <c r="E50" s="62">
        <f t="shared" si="52"/>
        <v>314.7</v>
      </c>
      <c r="F50" s="62">
        <f t="shared" ref="F50:F57" si="53">G50</f>
        <v>0</v>
      </c>
      <c r="G50" s="62">
        <f>G51</f>
        <v>0</v>
      </c>
      <c r="H50" s="62">
        <f t="shared" ref="H50:H58" si="54">IFERROR(G50/D50*100,0)</f>
        <v>0</v>
      </c>
      <c r="I50" s="62">
        <f t="shared" ref="I50:I58" si="55">IFERROR(G50/E50*100,0)</f>
        <v>0</v>
      </c>
      <c r="J50" s="62">
        <f t="shared" ref="J50:AG50" si="56">J51</f>
        <v>0</v>
      </c>
      <c r="K50" s="62">
        <f t="shared" si="56"/>
        <v>0</v>
      </c>
      <c r="L50" s="62">
        <f t="shared" si="56"/>
        <v>0</v>
      </c>
      <c r="M50" s="62">
        <f t="shared" si="56"/>
        <v>0</v>
      </c>
      <c r="N50" s="62">
        <f t="shared" si="56"/>
        <v>0</v>
      </c>
      <c r="O50" s="62">
        <f t="shared" si="56"/>
        <v>0</v>
      </c>
      <c r="P50" s="62">
        <f t="shared" si="56"/>
        <v>0</v>
      </c>
      <c r="Q50" s="62">
        <f t="shared" si="56"/>
        <v>0</v>
      </c>
      <c r="R50" s="62">
        <f t="shared" si="56"/>
        <v>0</v>
      </c>
      <c r="S50" s="62">
        <f t="shared" si="56"/>
        <v>0</v>
      </c>
      <c r="T50" s="62">
        <f t="shared" si="56"/>
        <v>0</v>
      </c>
      <c r="U50" s="74">
        <f t="shared" si="56"/>
        <v>0</v>
      </c>
      <c r="V50" s="62">
        <f t="shared" si="56"/>
        <v>0</v>
      </c>
      <c r="W50" s="62">
        <f t="shared" si="56"/>
        <v>0</v>
      </c>
      <c r="X50" s="62">
        <f t="shared" si="56"/>
        <v>314.7</v>
      </c>
      <c r="Y50" s="62">
        <f t="shared" si="56"/>
        <v>0</v>
      </c>
      <c r="Z50" s="62">
        <f t="shared" si="56"/>
        <v>0</v>
      </c>
      <c r="AA50" s="62">
        <f t="shared" si="56"/>
        <v>0</v>
      </c>
      <c r="AB50" s="62">
        <f t="shared" si="56"/>
        <v>0</v>
      </c>
      <c r="AC50" s="62">
        <f t="shared" si="56"/>
        <v>0</v>
      </c>
      <c r="AD50" s="62">
        <f t="shared" si="56"/>
        <v>0</v>
      </c>
      <c r="AE50" s="62">
        <f t="shared" si="56"/>
        <v>0</v>
      </c>
      <c r="AF50" s="62">
        <f t="shared" si="56"/>
        <v>0</v>
      </c>
      <c r="AG50" s="62">
        <f t="shared" si="56"/>
        <v>0</v>
      </c>
      <c r="AH50" s="423" t="s">
        <v>391</v>
      </c>
      <c r="AI50" s="20"/>
    </row>
    <row r="51" spans="1:35" s="22" customFormat="1" ht="37.5" customHeight="1" x14ac:dyDescent="0.25">
      <c r="A51" s="117"/>
      <c r="B51" s="557"/>
      <c r="C51" s="126" t="s">
        <v>21</v>
      </c>
      <c r="D51" s="74">
        <f t="shared" ref="D51" si="57">SUM(J51,L51,N51,P51,R51,T51,V51,X51,Z51,AB51,AD51,AF51)</f>
        <v>314.7</v>
      </c>
      <c r="E51" s="62">
        <f>J51+L51+N51+P51+R51+T51+V51+X51</f>
        <v>314.7</v>
      </c>
      <c r="F51" s="62">
        <f t="shared" si="53"/>
        <v>0</v>
      </c>
      <c r="G51" s="62">
        <f t="shared" ref="G51" si="58">SUM(K51,M51,O51,Q51,S51,U51,W51,Y51,AA51,AC51,AE51,AG51)</f>
        <v>0</v>
      </c>
      <c r="H51" s="62">
        <f t="shared" si="54"/>
        <v>0</v>
      </c>
      <c r="I51" s="62">
        <f t="shared" si="55"/>
        <v>0</v>
      </c>
      <c r="J51" s="63">
        <v>0</v>
      </c>
      <c r="K51" s="63">
        <v>0</v>
      </c>
      <c r="L51" s="63">
        <v>0</v>
      </c>
      <c r="M51" s="63">
        <v>0</v>
      </c>
      <c r="N51" s="63">
        <v>0</v>
      </c>
      <c r="O51" s="63">
        <v>0</v>
      </c>
      <c r="P51" s="63">
        <v>0</v>
      </c>
      <c r="Q51" s="63">
        <v>0</v>
      </c>
      <c r="R51" s="63">
        <v>0</v>
      </c>
      <c r="S51" s="63">
        <v>0</v>
      </c>
      <c r="T51" s="63">
        <v>0</v>
      </c>
      <c r="U51" s="67">
        <v>0</v>
      </c>
      <c r="V51" s="63">
        <v>0</v>
      </c>
      <c r="W51" s="63">
        <v>0</v>
      </c>
      <c r="X51" s="63">
        <v>314.7</v>
      </c>
      <c r="Y51" s="63">
        <v>0</v>
      </c>
      <c r="Z51" s="63">
        <v>0</v>
      </c>
      <c r="AA51" s="63">
        <v>0</v>
      </c>
      <c r="AB51" s="63">
        <v>0</v>
      </c>
      <c r="AC51" s="63">
        <v>0</v>
      </c>
      <c r="AD51" s="63">
        <v>0</v>
      </c>
      <c r="AE51" s="63">
        <v>0</v>
      </c>
      <c r="AF51" s="63">
        <v>0</v>
      </c>
      <c r="AG51" s="63">
        <v>0</v>
      </c>
      <c r="AH51" s="64"/>
      <c r="AI51" s="20"/>
    </row>
    <row r="52" spans="1:35" s="22" customFormat="1" ht="30.75" customHeight="1" x14ac:dyDescent="0.25">
      <c r="A52" s="117"/>
      <c r="B52" s="557" t="s">
        <v>127</v>
      </c>
      <c r="C52" s="126" t="s">
        <v>20</v>
      </c>
      <c r="D52" s="74">
        <f t="shared" ref="D52:E52" si="59">D53</f>
        <v>75.599999999999994</v>
      </c>
      <c r="E52" s="62">
        <f t="shared" si="59"/>
        <v>75.599999999999994</v>
      </c>
      <c r="F52" s="62">
        <f t="shared" si="53"/>
        <v>0</v>
      </c>
      <c r="G52" s="62">
        <f>G53</f>
        <v>0</v>
      </c>
      <c r="H52" s="62">
        <f t="shared" si="54"/>
        <v>0</v>
      </c>
      <c r="I52" s="62">
        <f t="shared" si="55"/>
        <v>0</v>
      </c>
      <c r="J52" s="62">
        <f t="shared" ref="J52:AG52" si="60">J53</f>
        <v>0</v>
      </c>
      <c r="K52" s="62">
        <f t="shared" si="60"/>
        <v>0</v>
      </c>
      <c r="L52" s="62">
        <f t="shared" si="60"/>
        <v>0</v>
      </c>
      <c r="M52" s="62">
        <f t="shared" si="60"/>
        <v>0</v>
      </c>
      <c r="N52" s="62">
        <f t="shared" si="60"/>
        <v>0</v>
      </c>
      <c r="O52" s="62">
        <f t="shared" si="60"/>
        <v>0</v>
      </c>
      <c r="P52" s="62">
        <f t="shared" si="60"/>
        <v>0</v>
      </c>
      <c r="Q52" s="62">
        <f t="shared" si="60"/>
        <v>0</v>
      </c>
      <c r="R52" s="62">
        <f t="shared" si="60"/>
        <v>75.599999999999994</v>
      </c>
      <c r="S52" s="62">
        <f t="shared" si="60"/>
        <v>0</v>
      </c>
      <c r="T52" s="62">
        <f t="shared" si="60"/>
        <v>0</v>
      </c>
      <c r="U52" s="74">
        <f t="shared" si="60"/>
        <v>0</v>
      </c>
      <c r="V52" s="62">
        <f t="shared" si="60"/>
        <v>0</v>
      </c>
      <c r="W52" s="62">
        <f t="shared" si="60"/>
        <v>0</v>
      </c>
      <c r="X52" s="62">
        <f t="shared" si="60"/>
        <v>0</v>
      </c>
      <c r="Y52" s="62">
        <f t="shared" si="60"/>
        <v>0</v>
      </c>
      <c r="Z52" s="62">
        <f t="shared" si="60"/>
        <v>0</v>
      </c>
      <c r="AA52" s="62">
        <f t="shared" si="60"/>
        <v>0</v>
      </c>
      <c r="AB52" s="62">
        <f t="shared" si="60"/>
        <v>0</v>
      </c>
      <c r="AC52" s="62">
        <f t="shared" si="60"/>
        <v>0</v>
      </c>
      <c r="AD52" s="62">
        <f t="shared" si="60"/>
        <v>0</v>
      </c>
      <c r="AE52" s="62">
        <f t="shared" si="60"/>
        <v>0</v>
      </c>
      <c r="AF52" s="62">
        <f t="shared" si="60"/>
        <v>0</v>
      </c>
      <c r="AG52" s="62">
        <f t="shared" si="60"/>
        <v>0</v>
      </c>
      <c r="AH52" s="423" t="s">
        <v>392</v>
      </c>
      <c r="AI52" s="20"/>
    </row>
    <row r="53" spans="1:35" s="22" customFormat="1" ht="37.5" customHeight="1" x14ac:dyDescent="0.25">
      <c r="A53" s="116"/>
      <c r="B53" s="557"/>
      <c r="C53" s="126" t="s">
        <v>21</v>
      </c>
      <c r="D53" s="74">
        <f t="shared" ref="D53" si="61">SUM(J53,L53,N53,P53,R53,T53,V53,X53,Z53,AB53,AD53,AF53)</f>
        <v>75.599999999999994</v>
      </c>
      <c r="E53" s="62">
        <f>J53+L53+N53+P53+R53+T53+V53+X53</f>
        <v>75.599999999999994</v>
      </c>
      <c r="F53" s="62">
        <f t="shared" si="53"/>
        <v>0</v>
      </c>
      <c r="G53" s="62">
        <f t="shared" ref="G53" si="62">SUM(K53,M53,O53,Q53,S53,U53,W53,Y53,AA53,AC53,AE53,AG53)</f>
        <v>0</v>
      </c>
      <c r="H53" s="62">
        <f t="shared" si="54"/>
        <v>0</v>
      </c>
      <c r="I53" s="62">
        <f t="shared" si="55"/>
        <v>0</v>
      </c>
      <c r="J53" s="63">
        <v>0</v>
      </c>
      <c r="K53" s="63">
        <v>0</v>
      </c>
      <c r="L53" s="63">
        <v>0</v>
      </c>
      <c r="M53" s="63">
        <v>0</v>
      </c>
      <c r="N53" s="63">
        <v>0</v>
      </c>
      <c r="O53" s="63">
        <v>0</v>
      </c>
      <c r="P53" s="63">
        <v>0</v>
      </c>
      <c r="Q53" s="63">
        <v>0</v>
      </c>
      <c r="R53" s="63">
        <v>75.599999999999994</v>
      </c>
      <c r="S53" s="63">
        <v>0</v>
      </c>
      <c r="T53" s="63">
        <v>0</v>
      </c>
      <c r="U53" s="67">
        <v>0</v>
      </c>
      <c r="V53" s="63">
        <v>0</v>
      </c>
      <c r="W53" s="63">
        <v>0</v>
      </c>
      <c r="X53" s="63">
        <v>0</v>
      </c>
      <c r="Y53" s="63">
        <v>0</v>
      </c>
      <c r="Z53" s="63">
        <v>0</v>
      </c>
      <c r="AA53" s="63">
        <v>0</v>
      </c>
      <c r="AB53" s="63">
        <v>0</v>
      </c>
      <c r="AC53" s="63">
        <v>0</v>
      </c>
      <c r="AD53" s="63">
        <v>0</v>
      </c>
      <c r="AE53" s="63">
        <v>0</v>
      </c>
      <c r="AF53" s="63">
        <v>0</v>
      </c>
      <c r="AG53" s="63">
        <v>0</v>
      </c>
      <c r="AH53" s="60"/>
      <c r="AI53" s="20"/>
    </row>
    <row r="54" spans="1:35" s="22" customFormat="1" ht="30.75" customHeight="1" x14ac:dyDescent="0.25">
      <c r="A54" s="116"/>
      <c r="B54" s="557" t="s">
        <v>128</v>
      </c>
      <c r="C54" s="125" t="s">
        <v>20</v>
      </c>
      <c r="D54" s="74">
        <f t="shared" ref="D54:E54" si="63">D55</f>
        <v>500</v>
      </c>
      <c r="E54" s="62">
        <f t="shared" si="63"/>
        <v>500</v>
      </c>
      <c r="F54" s="62">
        <f t="shared" si="53"/>
        <v>358.56</v>
      </c>
      <c r="G54" s="62">
        <f>G55</f>
        <v>358.56</v>
      </c>
      <c r="H54" s="62">
        <f t="shared" si="54"/>
        <v>71.712000000000003</v>
      </c>
      <c r="I54" s="62">
        <f t="shared" si="55"/>
        <v>71.712000000000003</v>
      </c>
      <c r="J54" s="62">
        <f t="shared" ref="J54:AG54" si="64">J55</f>
        <v>0</v>
      </c>
      <c r="K54" s="62">
        <f t="shared" si="64"/>
        <v>0</v>
      </c>
      <c r="L54" s="62">
        <f t="shared" si="64"/>
        <v>0</v>
      </c>
      <c r="M54" s="62">
        <f t="shared" si="64"/>
        <v>0</v>
      </c>
      <c r="N54" s="62">
        <f t="shared" si="64"/>
        <v>174.4</v>
      </c>
      <c r="O54" s="62">
        <f t="shared" si="64"/>
        <v>64.400000000000006</v>
      </c>
      <c r="P54" s="62">
        <f t="shared" si="64"/>
        <v>171.2</v>
      </c>
      <c r="Q54" s="62">
        <f t="shared" si="64"/>
        <v>134.19999999999999</v>
      </c>
      <c r="R54" s="62">
        <f t="shared" si="64"/>
        <v>0</v>
      </c>
      <c r="S54" s="62">
        <f t="shared" si="64"/>
        <v>76.959999999999994</v>
      </c>
      <c r="T54" s="62">
        <f t="shared" si="64"/>
        <v>0</v>
      </c>
      <c r="U54" s="74">
        <f t="shared" si="64"/>
        <v>0</v>
      </c>
      <c r="V54" s="62">
        <f t="shared" si="64"/>
        <v>0</v>
      </c>
      <c r="W54" s="62">
        <f t="shared" si="64"/>
        <v>0</v>
      </c>
      <c r="X54" s="62">
        <f t="shared" si="64"/>
        <v>154.4</v>
      </c>
      <c r="Y54" s="62">
        <f t="shared" si="64"/>
        <v>83</v>
      </c>
      <c r="Z54" s="62">
        <f t="shared" si="64"/>
        <v>0</v>
      </c>
      <c r="AA54" s="62">
        <f t="shared" si="64"/>
        <v>0</v>
      </c>
      <c r="AB54" s="62">
        <f t="shared" si="64"/>
        <v>0</v>
      </c>
      <c r="AC54" s="62">
        <f t="shared" si="64"/>
        <v>0</v>
      </c>
      <c r="AD54" s="62">
        <f t="shared" si="64"/>
        <v>0</v>
      </c>
      <c r="AE54" s="62">
        <f t="shared" si="64"/>
        <v>0</v>
      </c>
      <c r="AF54" s="62">
        <f t="shared" si="64"/>
        <v>0</v>
      </c>
      <c r="AG54" s="62">
        <f t="shared" si="64"/>
        <v>0</v>
      </c>
      <c r="AH54" s="423" t="s">
        <v>393</v>
      </c>
      <c r="AI54" s="20"/>
    </row>
    <row r="55" spans="1:35" s="22" customFormat="1" ht="37.5" customHeight="1" x14ac:dyDescent="0.25">
      <c r="A55" s="116"/>
      <c r="B55" s="557"/>
      <c r="C55" s="126" t="s">
        <v>21</v>
      </c>
      <c r="D55" s="74">
        <f t="shared" ref="D55" si="65">SUM(J55,L55,N55,P55,R55,T55,V55,X55,Z55,AB55,AD55,AF55)</f>
        <v>500</v>
      </c>
      <c r="E55" s="62">
        <f>J55+L55+N55+P55+R55+T55+V55+X55</f>
        <v>500</v>
      </c>
      <c r="F55" s="62">
        <f t="shared" si="53"/>
        <v>358.56</v>
      </c>
      <c r="G55" s="62">
        <f t="shared" ref="G55" si="66">SUM(K55,M55,O55,Q55,S55,U55,W55,Y55,AA55,AC55,AE55,AG55)</f>
        <v>358.56</v>
      </c>
      <c r="H55" s="62">
        <f t="shared" si="54"/>
        <v>71.712000000000003</v>
      </c>
      <c r="I55" s="62">
        <f t="shared" si="55"/>
        <v>71.712000000000003</v>
      </c>
      <c r="J55" s="63">
        <v>0</v>
      </c>
      <c r="K55" s="63">
        <v>0</v>
      </c>
      <c r="L55" s="63">
        <v>0</v>
      </c>
      <c r="M55" s="63">
        <v>0</v>
      </c>
      <c r="N55" s="63">
        <v>174.4</v>
      </c>
      <c r="O55" s="63">
        <v>64.400000000000006</v>
      </c>
      <c r="P55" s="63">
        <v>171.2</v>
      </c>
      <c r="Q55" s="63">
        <v>134.19999999999999</v>
      </c>
      <c r="R55" s="63">
        <v>0</v>
      </c>
      <c r="S55" s="63">
        <v>76.959999999999994</v>
      </c>
      <c r="T55" s="63">
        <v>0</v>
      </c>
      <c r="U55" s="67">
        <v>0</v>
      </c>
      <c r="V55" s="63">
        <v>0</v>
      </c>
      <c r="W55" s="63">
        <v>0</v>
      </c>
      <c r="X55" s="63">
        <v>154.4</v>
      </c>
      <c r="Y55" s="63">
        <v>83</v>
      </c>
      <c r="Z55" s="63">
        <v>0</v>
      </c>
      <c r="AA55" s="63">
        <v>0</v>
      </c>
      <c r="AB55" s="63">
        <v>0</v>
      </c>
      <c r="AC55" s="63">
        <v>0</v>
      </c>
      <c r="AD55" s="63">
        <v>0</v>
      </c>
      <c r="AE55" s="63">
        <v>0</v>
      </c>
      <c r="AF55" s="63">
        <v>0</v>
      </c>
      <c r="AG55" s="63">
        <v>0</v>
      </c>
      <c r="AH55" s="60"/>
      <c r="AI55" s="20"/>
    </row>
    <row r="56" spans="1:35" s="22" customFormat="1" ht="30.75" customHeight="1" x14ac:dyDescent="0.25">
      <c r="A56" s="116"/>
      <c r="B56" s="557" t="s">
        <v>129</v>
      </c>
      <c r="C56" s="125" t="s">
        <v>20</v>
      </c>
      <c r="D56" s="74">
        <f t="shared" ref="D56:E56" si="67">D57</f>
        <v>434.2</v>
      </c>
      <c r="E56" s="62">
        <f t="shared" si="67"/>
        <v>434.2</v>
      </c>
      <c r="F56" s="62">
        <f t="shared" si="53"/>
        <v>434.2</v>
      </c>
      <c r="G56" s="62">
        <f>G57</f>
        <v>434.2</v>
      </c>
      <c r="H56" s="62">
        <f t="shared" si="54"/>
        <v>100</v>
      </c>
      <c r="I56" s="62">
        <f t="shared" si="55"/>
        <v>100</v>
      </c>
      <c r="J56" s="62">
        <f t="shared" ref="J56:AG56" si="68">J57</f>
        <v>0</v>
      </c>
      <c r="K56" s="62">
        <f t="shared" si="68"/>
        <v>0</v>
      </c>
      <c r="L56" s="62">
        <f t="shared" si="68"/>
        <v>0</v>
      </c>
      <c r="M56" s="62">
        <f t="shared" si="68"/>
        <v>0</v>
      </c>
      <c r="N56" s="62">
        <f t="shared" si="68"/>
        <v>0</v>
      </c>
      <c r="O56" s="62">
        <f t="shared" si="68"/>
        <v>0</v>
      </c>
      <c r="P56" s="62">
        <f t="shared" si="68"/>
        <v>434.2</v>
      </c>
      <c r="Q56" s="62">
        <f t="shared" si="68"/>
        <v>195</v>
      </c>
      <c r="R56" s="62">
        <f t="shared" si="68"/>
        <v>0</v>
      </c>
      <c r="S56" s="62">
        <f t="shared" si="68"/>
        <v>105</v>
      </c>
      <c r="T56" s="62">
        <f t="shared" si="68"/>
        <v>0</v>
      </c>
      <c r="U56" s="74">
        <f t="shared" si="68"/>
        <v>0</v>
      </c>
      <c r="V56" s="62">
        <f t="shared" si="68"/>
        <v>0</v>
      </c>
      <c r="W56" s="62">
        <f t="shared" si="68"/>
        <v>134.19999999999999</v>
      </c>
      <c r="X56" s="62">
        <f t="shared" si="68"/>
        <v>0</v>
      </c>
      <c r="Y56" s="62">
        <f t="shared" si="68"/>
        <v>0</v>
      </c>
      <c r="Z56" s="62">
        <f t="shared" si="68"/>
        <v>0</v>
      </c>
      <c r="AA56" s="62">
        <f t="shared" si="68"/>
        <v>0</v>
      </c>
      <c r="AB56" s="62">
        <f t="shared" si="68"/>
        <v>0</v>
      </c>
      <c r="AC56" s="62">
        <f t="shared" si="68"/>
        <v>0</v>
      </c>
      <c r="AD56" s="62">
        <f t="shared" si="68"/>
        <v>0</v>
      </c>
      <c r="AE56" s="62">
        <f t="shared" si="68"/>
        <v>0</v>
      </c>
      <c r="AF56" s="62">
        <f t="shared" si="68"/>
        <v>0</v>
      </c>
      <c r="AG56" s="62">
        <f t="shared" si="68"/>
        <v>0</v>
      </c>
      <c r="AH56" s="60"/>
      <c r="AI56" s="20"/>
    </row>
    <row r="57" spans="1:35" s="22" customFormat="1" ht="37.5" customHeight="1" x14ac:dyDescent="0.25">
      <c r="A57" s="116"/>
      <c r="B57" s="557"/>
      <c r="C57" s="126" t="s">
        <v>21</v>
      </c>
      <c r="D57" s="74">
        <f t="shared" ref="D57" si="69">SUM(J57,L57,N57,P57,R57,T57,V57,X57,Z57,AB57,AD57,AF57)</f>
        <v>434.2</v>
      </c>
      <c r="E57" s="62">
        <f>J57+L57+N57+P57+R57+T57+V57+X57</f>
        <v>434.2</v>
      </c>
      <c r="F57" s="62">
        <f t="shared" si="53"/>
        <v>434.2</v>
      </c>
      <c r="G57" s="62">
        <f t="shared" ref="G57" si="70">SUM(K57,M57,O57,Q57,S57,U57,W57,Y57,AA57,AC57,AE57,AG57)</f>
        <v>434.2</v>
      </c>
      <c r="H57" s="62">
        <f t="shared" si="54"/>
        <v>100</v>
      </c>
      <c r="I57" s="62">
        <f t="shared" si="55"/>
        <v>100</v>
      </c>
      <c r="J57" s="63">
        <v>0</v>
      </c>
      <c r="K57" s="63">
        <v>0</v>
      </c>
      <c r="L57" s="63">
        <v>0</v>
      </c>
      <c r="M57" s="63">
        <v>0</v>
      </c>
      <c r="N57" s="63">
        <v>0</v>
      </c>
      <c r="O57" s="63">
        <v>0</v>
      </c>
      <c r="P57" s="63">
        <v>434.2</v>
      </c>
      <c r="Q57" s="63">
        <v>195</v>
      </c>
      <c r="R57" s="63">
        <v>0</v>
      </c>
      <c r="S57" s="63">
        <v>105</v>
      </c>
      <c r="T57" s="63">
        <v>0</v>
      </c>
      <c r="U57" s="67">
        <v>0</v>
      </c>
      <c r="V57" s="63">
        <v>0</v>
      </c>
      <c r="W57" s="63">
        <v>134.19999999999999</v>
      </c>
      <c r="X57" s="63">
        <v>0</v>
      </c>
      <c r="Y57" s="63">
        <v>0</v>
      </c>
      <c r="Z57" s="63">
        <v>0</v>
      </c>
      <c r="AA57" s="63">
        <v>0</v>
      </c>
      <c r="AB57" s="63">
        <v>0</v>
      </c>
      <c r="AC57" s="63">
        <v>0</v>
      </c>
      <c r="AD57" s="63">
        <v>0</v>
      </c>
      <c r="AE57" s="63">
        <v>0</v>
      </c>
      <c r="AF57" s="63">
        <v>0</v>
      </c>
      <c r="AG57" s="63">
        <v>0</v>
      </c>
      <c r="AH57" s="300" t="s">
        <v>375</v>
      </c>
      <c r="AI57" s="20"/>
    </row>
    <row r="58" spans="1:35" s="22" customFormat="1" ht="23.25" customHeight="1" x14ac:dyDescent="0.25">
      <c r="A58" s="558"/>
      <c r="B58" s="561" t="s">
        <v>130</v>
      </c>
      <c r="C58" s="126" t="s">
        <v>20</v>
      </c>
      <c r="D58" s="74">
        <f>D60+D59</f>
        <v>191256.30000000002</v>
      </c>
      <c r="E58" s="62">
        <f t="shared" ref="E58:G58" si="71">E60+E59</f>
        <v>129931.156</v>
      </c>
      <c r="F58" s="62">
        <f t="shared" si="71"/>
        <v>41653.899999999994</v>
      </c>
      <c r="G58" s="62">
        <f t="shared" si="71"/>
        <v>139679.91899999999</v>
      </c>
      <c r="H58" s="62">
        <f t="shared" si="54"/>
        <v>73.032845976838402</v>
      </c>
      <c r="I58" s="62">
        <f t="shared" si="55"/>
        <v>107.50302183103797</v>
      </c>
      <c r="J58" s="63">
        <f>J60+J59</f>
        <v>10957.522000000001</v>
      </c>
      <c r="K58" s="63">
        <f t="shared" ref="K58:AG58" si="72">K60+K59</f>
        <v>5503.4949999999999</v>
      </c>
      <c r="L58" s="63">
        <f t="shared" si="72"/>
        <v>18593.322</v>
      </c>
      <c r="M58" s="63">
        <f t="shared" si="72"/>
        <v>14242.234</v>
      </c>
      <c r="N58" s="63">
        <f t="shared" si="72"/>
        <v>12103.047999999999</v>
      </c>
      <c r="O58" s="63">
        <f t="shared" si="72"/>
        <v>13444.807999999999</v>
      </c>
      <c r="P58" s="63">
        <f t="shared" si="72"/>
        <v>20584.542000000001</v>
      </c>
      <c r="Q58" s="63">
        <f t="shared" si="72"/>
        <v>16486.292000000001</v>
      </c>
      <c r="R58" s="63">
        <f t="shared" si="72"/>
        <v>16321.293</v>
      </c>
      <c r="S58" s="63">
        <f t="shared" si="72"/>
        <v>14191.099</v>
      </c>
      <c r="T58" s="63">
        <f t="shared" si="72"/>
        <v>17898.165000000001</v>
      </c>
      <c r="U58" s="67">
        <f t="shared" si="72"/>
        <v>19324.252</v>
      </c>
      <c r="V58" s="63">
        <f t="shared" si="72"/>
        <v>20491.98</v>
      </c>
      <c r="W58" s="63">
        <f t="shared" si="72"/>
        <v>20423.498000000003</v>
      </c>
      <c r="X58" s="63">
        <f t="shared" si="72"/>
        <v>12981.284</v>
      </c>
      <c r="Y58" s="63">
        <f t="shared" si="72"/>
        <v>9521.3319999999985</v>
      </c>
      <c r="Z58" s="63">
        <f t="shared" si="72"/>
        <v>12288.455</v>
      </c>
      <c r="AA58" s="63">
        <f t="shared" si="72"/>
        <v>11425.767</v>
      </c>
      <c r="AB58" s="63">
        <f t="shared" si="72"/>
        <v>15970.16</v>
      </c>
      <c r="AC58" s="63">
        <f t="shared" si="72"/>
        <v>15117.142</v>
      </c>
      <c r="AD58" s="63">
        <f t="shared" si="72"/>
        <v>12661.468999999999</v>
      </c>
      <c r="AE58" s="63">
        <f t="shared" si="72"/>
        <v>0</v>
      </c>
      <c r="AF58" s="63">
        <f t="shared" si="72"/>
        <v>20405.060000000001</v>
      </c>
      <c r="AG58" s="63">
        <f t="shared" si="72"/>
        <v>0</v>
      </c>
      <c r="AH58" s="64"/>
      <c r="AI58" s="20"/>
    </row>
    <row r="59" spans="1:35" s="22" customFormat="1" ht="63" customHeight="1" x14ac:dyDescent="0.25">
      <c r="A59" s="559"/>
      <c r="B59" s="562"/>
      <c r="C59" s="126" t="s">
        <v>21</v>
      </c>
      <c r="D59" s="74">
        <f>SUM(J59,L59,N59,P59,R59,T59,V59,X59,Z59,AB59,AD59,AF59)</f>
        <v>168656.30300000001</v>
      </c>
      <c r="E59" s="62">
        <f>J59+L59+N59+P59+R59+T59+V59+X59</f>
        <v>114190.997</v>
      </c>
      <c r="F59" s="62">
        <v>35807.019999999997</v>
      </c>
      <c r="G59" s="62">
        <f>SUM(K59,M59,O59,Q59,S59,U59,W59,Y59,AA59,AC59,AE59,AG59)</f>
        <v>126005.197</v>
      </c>
      <c r="H59" s="62">
        <f>IFERROR(G59/D59*100,0)</f>
        <v>74.711229143923546</v>
      </c>
      <c r="I59" s="62">
        <f>IFERROR(G59/E59*100,0)</f>
        <v>110.3459995186836</v>
      </c>
      <c r="J59" s="63">
        <v>8609.4639999999999</v>
      </c>
      <c r="K59" s="63">
        <v>4860.6880000000001</v>
      </c>
      <c r="L59" s="63">
        <v>16994.278999999999</v>
      </c>
      <c r="M59" s="63">
        <v>13193.374</v>
      </c>
      <c r="N59" s="63">
        <v>10203.272999999999</v>
      </c>
      <c r="O59" s="63">
        <v>12068.052</v>
      </c>
      <c r="P59" s="63">
        <v>17529.714</v>
      </c>
      <c r="Q59" s="63">
        <v>14894.413</v>
      </c>
      <c r="R59" s="63">
        <v>14772.98</v>
      </c>
      <c r="S59" s="63">
        <v>12236.986000000001</v>
      </c>
      <c r="T59" s="63">
        <v>16510.393</v>
      </c>
      <c r="U59" s="67">
        <v>17266.685000000001</v>
      </c>
      <c r="V59" s="63">
        <v>17916.805</v>
      </c>
      <c r="W59" s="63">
        <v>18726.865000000002</v>
      </c>
      <c r="X59" s="63">
        <v>11654.089</v>
      </c>
      <c r="Y59" s="63">
        <v>8911.7819999999992</v>
      </c>
      <c r="Z59" s="63">
        <v>10826.831</v>
      </c>
      <c r="AA59" s="63">
        <v>10190.243</v>
      </c>
      <c r="AB59" s="63">
        <v>14035.343000000001</v>
      </c>
      <c r="AC59" s="63">
        <v>13656.109</v>
      </c>
      <c r="AD59" s="63">
        <v>10918.999</v>
      </c>
      <c r="AE59" s="63">
        <v>0</v>
      </c>
      <c r="AF59" s="63">
        <v>18684.133000000002</v>
      </c>
      <c r="AG59" s="63">
        <v>0</v>
      </c>
      <c r="AH59" s="308" t="s">
        <v>453</v>
      </c>
      <c r="AI59" s="20"/>
    </row>
    <row r="60" spans="1:35" s="22" customFormat="1" ht="60.75" customHeight="1" x14ac:dyDescent="0.25">
      <c r="A60" s="560"/>
      <c r="B60" s="563"/>
      <c r="C60" s="126" t="s">
        <v>113</v>
      </c>
      <c r="D60" s="74">
        <f>SUM(J60,L60,N60,P60,R60,T60,V60,X60,Z60,AB60,AD60,AF60)</f>
        <v>22599.996999999999</v>
      </c>
      <c r="E60" s="62">
        <f>J60+L60+N60+P60+R60+T60+V60+X60</f>
        <v>15740.159</v>
      </c>
      <c r="F60" s="62">
        <v>5846.88</v>
      </c>
      <c r="G60" s="62">
        <f>SUM(K60,M60,O60,Q60,S60,U60,W60,Y60,AA60,AC60,AE60,AG60)</f>
        <v>13674.721999999998</v>
      </c>
      <c r="H60" s="62">
        <f>IFERROR(G60/D60*100,0)</f>
        <v>60.507627501012493</v>
      </c>
      <c r="I60" s="62">
        <f>IFERROR(G60/E60*100,0)</f>
        <v>86.87791527391812</v>
      </c>
      <c r="J60" s="63">
        <v>2348.058</v>
      </c>
      <c r="K60" s="63">
        <v>642.80700000000002</v>
      </c>
      <c r="L60" s="63">
        <v>1599.0429999999999</v>
      </c>
      <c r="M60" s="63">
        <v>1048.8599999999999</v>
      </c>
      <c r="N60" s="63">
        <v>1899.7750000000001</v>
      </c>
      <c r="O60" s="63">
        <v>1376.7560000000001</v>
      </c>
      <c r="P60" s="63">
        <v>3054.828</v>
      </c>
      <c r="Q60" s="63">
        <v>1591.8789999999999</v>
      </c>
      <c r="R60" s="63">
        <v>1548.3130000000001</v>
      </c>
      <c r="S60" s="63">
        <v>1954.1130000000001</v>
      </c>
      <c r="T60" s="63">
        <v>1387.7719999999999</v>
      </c>
      <c r="U60" s="67">
        <v>2057.567</v>
      </c>
      <c r="V60" s="63">
        <v>2575.1750000000002</v>
      </c>
      <c r="W60" s="63">
        <v>1696.633</v>
      </c>
      <c r="X60" s="63">
        <v>1327.1949999999999</v>
      </c>
      <c r="Y60" s="63">
        <v>609.54999999999995</v>
      </c>
      <c r="Z60" s="63">
        <v>1461.624</v>
      </c>
      <c r="AA60" s="63">
        <v>1235.5239999999999</v>
      </c>
      <c r="AB60" s="63">
        <v>1934.817</v>
      </c>
      <c r="AC60" s="63">
        <v>1461.0329999999999</v>
      </c>
      <c r="AD60" s="63">
        <v>1742.47</v>
      </c>
      <c r="AE60" s="63">
        <v>0</v>
      </c>
      <c r="AF60" s="63">
        <v>1720.9269999999999</v>
      </c>
      <c r="AG60" s="63">
        <v>0</v>
      </c>
      <c r="AH60" s="507" t="s">
        <v>452</v>
      </c>
      <c r="AI60" s="20"/>
    </row>
    <row r="61" spans="1:35" s="22" customFormat="1" ht="99.75" customHeight="1" x14ac:dyDescent="0.25">
      <c r="A61" s="116"/>
      <c r="B61" s="557" t="s">
        <v>131</v>
      </c>
      <c r="C61" s="125" t="s">
        <v>20</v>
      </c>
      <c r="D61" s="74">
        <f t="shared" ref="D61:E61" si="73">D62</f>
        <v>16433.2</v>
      </c>
      <c r="E61" s="62">
        <f t="shared" si="73"/>
        <v>9043.1610000000001</v>
      </c>
      <c r="F61" s="62" t="e">
        <f t="shared" ref="F61:F64" si="74">G61</f>
        <v>#REF!</v>
      </c>
      <c r="G61" s="62" t="e">
        <f>G62</f>
        <v>#REF!</v>
      </c>
      <c r="H61" s="62">
        <f t="shared" ref="H61:H67" si="75">IFERROR(G61/D61*100,0)</f>
        <v>0</v>
      </c>
      <c r="I61" s="62">
        <f t="shared" ref="I61:I67" si="76">IFERROR(G61/E61*100,0)</f>
        <v>0</v>
      </c>
      <c r="J61" s="62">
        <f t="shared" ref="J61:AG61" si="77">J62</f>
        <v>1197.434</v>
      </c>
      <c r="K61" s="62">
        <f t="shared" si="77"/>
        <v>464.17700000000002</v>
      </c>
      <c r="L61" s="62">
        <f t="shared" si="77"/>
        <v>1047.287</v>
      </c>
      <c r="M61" s="62">
        <f t="shared" si="77"/>
        <v>1546.6980000000001</v>
      </c>
      <c r="N61" s="62">
        <f t="shared" si="77"/>
        <v>782.82799999999997</v>
      </c>
      <c r="O61" s="62">
        <f t="shared" si="77"/>
        <v>575.976</v>
      </c>
      <c r="P61" s="62">
        <f t="shared" si="77"/>
        <v>1332.6479999999999</v>
      </c>
      <c r="Q61" s="62">
        <f t="shared" si="77"/>
        <v>1432.7929999999999</v>
      </c>
      <c r="R61" s="62">
        <f t="shared" si="77"/>
        <v>888.12900000000002</v>
      </c>
      <c r="S61" s="62">
        <f t="shared" si="77"/>
        <v>939.99900000000002</v>
      </c>
      <c r="T61" s="62">
        <f t="shared" si="77"/>
        <v>439.42200000000003</v>
      </c>
      <c r="U61" s="74">
        <f t="shared" si="77"/>
        <v>379.916</v>
      </c>
      <c r="V61" s="62">
        <f t="shared" si="77"/>
        <v>1740.9</v>
      </c>
      <c r="W61" s="62">
        <f t="shared" si="77"/>
        <v>408.416</v>
      </c>
      <c r="X61" s="62">
        <f t="shared" si="77"/>
        <v>1614.5129999999999</v>
      </c>
      <c r="Y61" s="62">
        <f t="shared" si="77"/>
        <v>0</v>
      </c>
      <c r="Z61" s="62">
        <f t="shared" si="77"/>
        <v>5999.3559999999998</v>
      </c>
      <c r="AA61" s="62">
        <f t="shared" si="77"/>
        <v>0</v>
      </c>
      <c r="AB61" s="62">
        <f t="shared" si="77"/>
        <v>35.975999999999999</v>
      </c>
      <c r="AC61" s="62" t="e">
        <f>AC62</f>
        <v>#REF!</v>
      </c>
      <c r="AD61" s="62">
        <f t="shared" si="77"/>
        <v>16.399999999999999</v>
      </c>
      <c r="AE61" s="62">
        <f t="shared" si="77"/>
        <v>0</v>
      </c>
      <c r="AF61" s="62">
        <f t="shared" si="77"/>
        <v>1338.307</v>
      </c>
      <c r="AG61" s="62">
        <f t="shared" si="77"/>
        <v>0</v>
      </c>
      <c r="AH61" s="298" t="e">
        <f>[1]разв.кул.!$AF$18</f>
        <v>#REF!</v>
      </c>
      <c r="AI61" s="20"/>
    </row>
    <row r="62" spans="1:35" s="22" customFormat="1" ht="37.5" customHeight="1" x14ac:dyDescent="0.25">
      <c r="A62" s="116"/>
      <c r="B62" s="557"/>
      <c r="C62" s="126" t="s">
        <v>21</v>
      </c>
      <c r="D62" s="74">
        <f t="shared" ref="D62" si="78">SUM(J62,L62,N62,P62,R62,T62,V62,X62,Z62,AB62,AD62,AF62)</f>
        <v>16433.2</v>
      </c>
      <c r="E62" s="62">
        <f>J62+L62+N62+P62+R62+T62+V62+X62</f>
        <v>9043.1610000000001</v>
      </c>
      <c r="F62" s="62" t="e">
        <f t="shared" si="74"/>
        <v>#REF!</v>
      </c>
      <c r="G62" s="62" t="e">
        <f>SUM(K62,M62,O62,Q62,S62,U62,W62,Y62,AA62,AC62,AE62,AG62)</f>
        <v>#REF!</v>
      </c>
      <c r="H62" s="62">
        <f t="shared" si="75"/>
        <v>0</v>
      </c>
      <c r="I62" s="62">
        <f t="shared" si="76"/>
        <v>0</v>
      </c>
      <c r="J62" s="63">
        <v>1197.434</v>
      </c>
      <c r="K62" s="63">
        <v>464.17700000000002</v>
      </c>
      <c r="L62" s="63">
        <v>1047.287</v>
      </c>
      <c r="M62" s="63">
        <v>1546.6980000000001</v>
      </c>
      <c r="N62" s="63">
        <v>782.82799999999997</v>
      </c>
      <c r="O62" s="63">
        <v>575.976</v>
      </c>
      <c r="P62" s="63">
        <v>1332.6479999999999</v>
      </c>
      <c r="Q62" s="63">
        <v>1432.7929999999999</v>
      </c>
      <c r="R62" s="63">
        <v>888.12900000000002</v>
      </c>
      <c r="S62" s="63">
        <v>939.99900000000002</v>
      </c>
      <c r="T62" s="63">
        <v>439.42200000000003</v>
      </c>
      <c r="U62" s="67">
        <v>379.916</v>
      </c>
      <c r="V62" s="63">
        <v>1740.9</v>
      </c>
      <c r="W62" s="63">
        <v>408.416</v>
      </c>
      <c r="X62" s="63">
        <v>1614.5129999999999</v>
      </c>
      <c r="Y62" s="63">
        <v>0</v>
      </c>
      <c r="Z62" s="63">
        <v>5999.3559999999998</v>
      </c>
      <c r="AA62" s="63">
        <v>0</v>
      </c>
      <c r="AB62" s="63">
        <v>35.975999999999999</v>
      </c>
      <c r="AC62" s="63" t="e">
        <f>[1]разв.кул.!$AA$21</f>
        <v>#REF!</v>
      </c>
      <c r="AD62" s="63">
        <v>16.399999999999999</v>
      </c>
      <c r="AE62" s="63">
        <v>0</v>
      </c>
      <c r="AF62" s="63">
        <v>1338.307</v>
      </c>
      <c r="AG62" s="63">
        <v>0</v>
      </c>
      <c r="AH62" s="296"/>
      <c r="AI62" s="20"/>
    </row>
    <row r="63" spans="1:35" s="22" customFormat="1" ht="30.75" customHeight="1" x14ac:dyDescent="0.25">
      <c r="A63" s="116"/>
      <c r="B63" s="557" t="s">
        <v>132</v>
      </c>
      <c r="C63" s="125" t="s">
        <v>20</v>
      </c>
      <c r="D63" s="74">
        <f t="shared" ref="D63:E63" si="79">D64</f>
        <v>50</v>
      </c>
      <c r="E63" s="62">
        <f t="shared" si="79"/>
        <v>0</v>
      </c>
      <c r="F63" s="62">
        <f t="shared" si="74"/>
        <v>0</v>
      </c>
      <c r="G63" s="62">
        <f>G64</f>
        <v>0</v>
      </c>
      <c r="H63" s="62">
        <f t="shared" si="75"/>
        <v>0</v>
      </c>
      <c r="I63" s="62">
        <f t="shared" si="76"/>
        <v>0</v>
      </c>
      <c r="J63" s="62">
        <f t="shared" ref="J63:AG63" si="80">J64</f>
        <v>0</v>
      </c>
      <c r="K63" s="62">
        <f t="shared" si="80"/>
        <v>0</v>
      </c>
      <c r="L63" s="62">
        <f t="shared" si="80"/>
        <v>0</v>
      </c>
      <c r="M63" s="62">
        <f t="shared" si="80"/>
        <v>0</v>
      </c>
      <c r="N63" s="62">
        <f t="shared" si="80"/>
        <v>0</v>
      </c>
      <c r="O63" s="62">
        <f t="shared" si="80"/>
        <v>0</v>
      </c>
      <c r="P63" s="62">
        <f t="shared" si="80"/>
        <v>0</v>
      </c>
      <c r="Q63" s="62">
        <f t="shared" si="80"/>
        <v>0</v>
      </c>
      <c r="R63" s="62">
        <f t="shared" si="80"/>
        <v>0</v>
      </c>
      <c r="S63" s="62">
        <f t="shared" si="80"/>
        <v>0</v>
      </c>
      <c r="T63" s="62">
        <f t="shared" si="80"/>
        <v>0</v>
      </c>
      <c r="U63" s="74">
        <f t="shared" si="80"/>
        <v>0</v>
      </c>
      <c r="V63" s="62">
        <f t="shared" si="80"/>
        <v>0</v>
      </c>
      <c r="W63" s="62">
        <f t="shared" si="80"/>
        <v>0</v>
      </c>
      <c r="X63" s="62">
        <f t="shared" si="80"/>
        <v>0</v>
      </c>
      <c r="Y63" s="62">
        <f t="shared" si="80"/>
        <v>0</v>
      </c>
      <c r="Z63" s="62">
        <f t="shared" si="80"/>
        <v>0</v>
      </c>
      <c r="AA63" s="62">
        <f t="shared" si="80"/>
        <v>0</v>
      </c>
      <c r="AB63" s="62">
        <f t="shared" si="80"/>
        <v>0</v>
      </c>
      <c r="AC63" s="62">
        <f t="shared" si="80"/>
        <v>0</v>
      </c>
      <c r="AD63" s="62">
        <f t="shared" si="80"/>
        <v>50</v>
      </c>
      <c r="AE63" s="62">
        <f t="shared" si="80"/>
        <v>0</v>
      </c>
      <c r="AF63" s="62">
        <f t="shared" si="80"/>
        <v>0</v>
      </c>
      <c r="AG63" s="62">
        <f t="shared" si="80"/>
        <v>0</v>
      </c>
      <c r="AH63" s="296"/>
      <c r="AI63" s="20"/>
    </row>
    <row r="64" spans="1:35" s="22" customFormat="1" ht="37.5" customHeight="1" x14ac:dyDescent="0.25">
      <c r="A64" s="116"/>
      <c r="B64" s="557"/>
      <c r="C64" s="126" t="s">
        <v>21</v>
      </c>
      <c r="D64" s="74">
        <f t="shared" ref="D64" si="81">SUM(J64,L64,N64,P64,R64,T64,V64,X64,Z64,AB64,AD64,AF64)</f>
        <v>50</v>
      </c>
      <c r="E64" s="62">
        <f t="shared" ref="E64" si="82">J64</f>
        <v>0</v>
      </c>
      <c r="F64" s="62">
        <f t="shared" si="74"/>
        <v>0</v>
      </c>
      <c r="G64" s="62">
        <f t="shared" ref="G64" si="83">SUM(K64,M64,O64,Q64,S64,U64,W64,Y64,AA64,AC64,AE64,AG64)</f>
        <v>0</v>
      </c>
      <c r="H64" s="62">
        <f t="shared" si="75"/>
        <v>0</v>
      </c>
      <c r="I64" s="62">
        <f t="shared" si="76"/>
        <v>0</v>
      </c>
      <c r="J64" s="63">
        <v>0</v>
      </c>
      <c r="K64" s="63">
        <v>0</v>
      </c>
      <c r="L64" s="63">
        <v>0</v>
      </c>
      <c r="M64" s="63">
        <v>0</v>
      </c>
      <c r="N64" s="63">
        <v>0</v>
      </c>
      <c r="O64" s="63">
        <v>0</v>
      </c>
      <c r="P64" s="63">
        <v>0</v>
      </c>
      <c r="Q64" s="63">
        <v>0</v>
      </c>
      <c r="R64" s="63">
        <v>0</v>
      </c>
      <c r="S64" s="63">
        <v>0</v>
      </c>
      <c r="T64" s="63">
        <v>0</v>
      </c>
      <c r="U64" s="67">
        <v>0</v>
      </c>
      <c r="V64" s="63">
        <v>0</v>
      </c>
      <c r="W64" s="63">
        <v>0</v>
      </c>
      <c r="X64" s="63">
        <v>0</v>
      </c>
      <c r="Y64" s="63">
        <v>0</v>
      </c>
      <c r="Z64" s="63">
        <v>0</v>
      </c>
      <c r="AA64" s="63">
        <v>0</v>
      </c>
      <c r="AB64" s="63">
        <v>0</v>
      </c>
      <c r="AC64" s="63">
        <v>0</v>
      </c>
      <c r="AD64" s="63">
        <v>50</v>
      </c>
      <c r="AE64" s="63">
        <v>0</v>
      </c>
      <c r="AF64" s="63">
        <v>0</v>
      </c>
      <c r="AG64" s="63">
        <v>0</v>
      </c>
      <c r="AH64" s="297"/>
      <c r="AI64" s="20"/>
    </row>
    <row r="65" spans="1:35" s="22" customFormat="1" ht="108" customHeight="1" x14ac:dyDescent="0.25">
      <c r="A65" s="280"/>
      <c r="B65" s="281" t="s">
        <v>330</v>
      </c>
      <c r="C65" s="284" t="s">
        <v>20</v>
      </c>
      <c r="D65" s="74">
        <f>D66</f>
        <v>193384.09999999998</v>
      </c>
      <c r="E65" s="62">
        <f>E66</f>
        <v>125752.12</v>
      </c>
      <c r="F65" s="62">
        <f>G65</f>
        <v>128032.55899999999</v>
      </c>
      <c r="G65" s="62">
        <f>G66</f>
        <v>128032.55899999999</v>
      </c>
      <c r="H65" s="62">
        <f>IFERROR(G65/D65*100,0)</f>
        <v>66.206352538807494</v>
      </c>
      <c r="I65" s="62">
        <f>IFERROR(G65/E65*100,0)</f>
        <v>101.81343980522952</v>
      </c>
      <c r="J65" s="62">
        <f t="shared" ref="J65:AG65" si="84">J66</f>
        <v>0</v>
      </c>
      <c r="K65" s="62">
        <f t="shared" si="84"/>
        <v>0</v>
      </c>
      <c r="L65" s="62">
        <f t="shared" si="84"/>
        <v>0</v>
      </c>
      <c r="M65" s="62">
        <f t="shared" si="84"/>
        <v>0</v>
      </c>
      <c r="N65" s="62">
        <f t="shared" si="84"/>
        <v>125752.12</v>
      </c>
      <c r="O65" s="62">
        <f t="shared" si="84"/>
        <v>75768</v>
      </c>
      <c r="P65" s="62">
        <f t="shared" si="84"/>
        <v>9404.0730000000003</v>
      </c>
      <c r="Q65" s="62">
        <f t="shared" si="84"/>
        <v>1572.81</v>
      </c>
      <c r="R65" s="62">
        <f>R66</f>
        <v>377.54700000000003</v>
      </c>
      <c r="S65" s="74">
        <f>S66</f>
        <v>5081.58</v>
      </c>
      <c r="T65" s="62">
        <f t="shared" si="84"/>
        <v>6606.5460000000003</v>
      </c>
      <c r="U65" s="74">
        <f t="shared" si="84"/>
        <v>6687.75</v>
      </c>
      <c r="V65" s="62">
        <f t="shared" si="84"/>
        <v>24935.491999999998</v>
      </c>
      <c r="W65" s="62">
        <f t="shared" si="84"/>
        <v>19142.143</v>
      </c>
      <c r="X65" s="62">
        <f t="shared" si="84"/>
        <v>23872</v>
      </c>
      <c r="Y65" s="62">
        <f t="shared" si="84"/>
        <v>19780.276000000002</v>
      </c>
      <c r="Z65" s="62">
        <f t="shared" si="84"/>
        <v>2436.3220000000001</v>
      </c>
      <c r="AA65" s="62">
        <f t="shared" si="84"/>
        <v>0</v>
      </c>
      <c r="AB65" s="62">
        <f t="shared" si="84"/>
        <v>0</v>
      </c>
      <c r="AC65" s="62">
        <f t="shared" si="84"/>
        <v>0</v>
      </c>
      <c r="AD65" s="62">
        <f t="shared" si="84"/>
        <v>0</v>
      </c>
      <c r="AE65" s="62">
        <f t="shared" si="84"/>
        <v>0</v>
      </c>
      <c r="AF65" s="62">
        <f t="shared" si="84"/>
        <v>0</v>
      </c>
      <c r="AG65" s="62">
        <f t="shared" si="84"/>
        <v>0</v>
      </c>
      <c r="AH65" s="308" t="s">
        <v>454</v>
      </c>
      <c r="AI65" s="20"/>
    </row>
    <row r="66" spans="1:35" s="22" customFormat="1" ht="50.25" customHeight="1" x14ac:dyDescent="0.25">
      <c r="A66" s="280"/>
      <c r="B66" s="283"/>
      <c r="C66" s="126" t="s">
        <v>21</v>
      </c>
      <c r="D66" s="74">
        <f>SUM(J66,L66,N66,P66,R66,T66,V66,X66,Z66,AB66,AD66,AF66)</f>
        <v>193384.09999999998</v>
      </c>
      <c r="E66" s="62">
        <f>J66+L66+N66</f>
        <v>125752.12</v>
      </c>
      <c r="F66" s="62">
        <v>128718.92</v>
      </c>
      <c r="G66" s="62">
        <f>SUM(K66,M66,O66,Q66,S66,U66,W66,Y66,AA66,AC66,AE66,AG66)</f>
        <v>128032.55899999999</v>
      </c>
      <c r="H66" s="62">
        <f>IFERROR(G66/D66*100,0)</f>
        <v>66.206352538807494</v>
      </c>
      <c r="I66" s="62">
        <f>IFERROR(G66/E66*100,0)</f>
        <v>101.81343980522952</v>
      </c>
      <c r="J66" s="63">
        <v>0</v>
      </c>
      <c r="K66" s="63">
        <v>0</v>
      </c>
      <c r="L66" s="63">
        <v>0</v>
      </c>
      <c r="M66" s="63">
        <v>0</v>
      </c>
      <c r="N66" s="63">
        <v>125752.12</v>
      </c>
      <c r="O66" s="63">
        <v>75768</v>
      </c>
      <c r="P66" s="63">
        <v>9404.0730000000003</v>
      </c>
      <c r="Q66" s="63">
        <v>1572.81</v>
      </c>
      <c r="R66" s="63">
        <v>377.54700000000003</v>
      </c>
      <c r="S66" s="67">
        <v>5081.58</v>
      </c>
      <c r="T66" s="63">
        <v>6606.5460000000003</v>
      </c>
      <c r="U66" s="67">
        <v>6687.75</v>
      </c>
      <c r="V66" s="63">
        <v>24935.491999999998</v>
      </c>
      <c r="W66" s="63">
        <v>19142.143</v>
      </c>
      <c r="X66" s="63">
        <v>23872</v>
      </c>
      <c r="Y66" s="63">
        <v>19780.276000000002</v>
      </c>
      <c r="Z66" s="63">
        <v>2436.3220000000001</v>
      </c>
      <c r="AA66" s="63">
        <v>0</v>
      </c>
      <c r="AB66" s="63">
        <v>0</v>
      </c>
      <c r="AC66" s="63">
        <v>0</v>
      </c>
      <c r="AD66" s="63">
        <v>0</v>
      </c>
      <c r="AE66" s="63">
        <v>0</v>
      </c>
      <c r="AF66" s="63">
        <v>0</v>
      </c>
      <c r="AG66" s="63">
        <v>0</v>
      </c>
      <c r="AH66" s="378"/>
      <c r="AI66" s="20"/>
    </row>
    <row r="67" spans="1:35" s="22" customFormat="1" ht="78.75" customHeight="1" x14ac:dyDescent="0.25">
      <c r="A67" s="540"/>
      <c r="B67" s="568" t="s">
        <v>133</v>
      </c>
      <c r="C67" s="125" t="s">
        <v>20</v>
      </c>
      <c r="D67" s="70">
        <f>D69+D68</f>
        <v>8991.7999999999993</v>
      </c>
      <c r="E67" s="58">
        <f t="shared" ref="E67:G67" si="85">E69+E68</f>
        <v>8991.7999999999993</v>
      </c>
      <c r="F67" s="58">
        <f t="shared" si="85"/>
        <v>8991.7999999999993</v>
      </c>
      <c r="G67" s="58">
        <f t="shared" si="85"/>
        <v>8991.7999999999993</v>
      </c>
      <c r="H67" s="58">
        <f t="shared" si="75"/>
        <v>100</v>
      </c>
      <c r="I67" s="58">
        <f t="shared" si="76"/>
        <v>100</v>
      </c>
      <c r="J67" s="59">
        <f>J69+J68</f>
        <v>8991.7999999999993</v>
      </c>
      <c r="K67" s="59">
        <f t="shared" ref="K67:AG67" si="86">K69+K68</f>
        <v>8991.7999999999993</v>
      </c>
      <c r="L67" s="59">
        <f t="shared" si="86"/>
        <v>0</v>
      </c>
      <c r="M67" s="59">
        <f t="shared" si="86"/>
        <v>0</v>
      </c>
      <c r="N67" s="59">
        <f t="shared" si="86"/>
        <v>0</v>
      </c>
      <c r="O67" s="59">
        <f t="shared" si="86"/>
        <v>0</v>
      </c>
      <c r="P67" s="59">
        <f t="shared" si="86"/>
        <v>0</v>
      </c>
      <c r="Q67" s="59">
        <f t="shared" si="86"/>
        <v>0</v>
      </c>
      <c r="R67" s="59">
        <f t="shared" si="86"/>
        <v>0</v>
      </c>
      <c r="S67" s="59">
        <f t="shared" si="86"/>
        <v>0</v>
      </c>
      <c r="T67" s="59">
        <f t="shared" si="86"/>
        <v>0</v>
      </c>
      <c r="U67" s="71">
        <f t="shared" si="86"/>
        <v>0</v>
      </c>
      <c r="V67" s="59">
        <f t="shared" si="86"/>
        <v>0</v>
      </c>
      <c r="W67" s="59">
        <f t="shared" si="86"/>
        <v>0</v>
      </c>
      <c r="X67" s="59">
        <f t="shared" si="86"/>
        <v>0</v>
      </c>
      <c r="Y67" s="59">
        <f t="shared" si="86"/>
        <v>0</v>
      </c>
      <c r="Z67" s="59">
        <f t="shared" si="86"/>
        <v>0</v>
      </c>
      <c r="AA67" s="59">
        <f t="shared" si="86"/>
        <v>0</v>
      </c>
      <c r="AB67" s="59">
        <f t="shared" si="86"/>
        <v>0</v>
      </c>
      <c r="AC67" s="59">
        <f t="shared" si="86"/>
        <v>0</v>
      </c>
      <c r="AD67" s="59">
        <f t="shared" si="86"/>
        <v>0</v>
      </c>
      <c r="AE67" s="59">
        <f t="shared" si="86"/>
        <v>0</v>
      </c>
      <c r="AF67" s="59">
        <f t="shared" si="86"/>
        <v>0</v>
      </c>
      <c r="AG67" s="59">
        <f t="shared" si="86"/>
        <v>0</v>
      </c>
      <c r="AH67" s="378"/>
      <c r="AI67" s="20"/>
    </row>
    <row r="68" spans="1:35" s="22" customFormat="1" ht="58.5" hidden="1" customHeight="1" x14ac:dyDescent="0.25">
      <c r="A68" s="540"/>
      <c r="B68" s="568"/>
      <c r="C68" s="126" t="s">
        <v>22</v>
      </c>
      <c r="D68" s="74">
        <f>SUM(J68,L68,N68,P68,R68,T68,V68,X68,Z68,AB68,AD68,AF68)</f>
        <v>0</v>
      </c>
      <c r="E68" s="62">
        <f>J68</f>
        <v>0</v>
      </c>
      <c r="F68" s="62">
        <f>G68</f>
        <v>0</v>
      </c>
      <c r="G68" s="62">
        <f>SUM(K68,M68,O68,Q68,S68,U68,W68,Y68,AA68,AC68,AE68,AG68)</f>
        <v>0</v>
      </c>
      <c r="H68" s="62">
        <f>IFERROR(G68/D68*100,0)</f>
        <v>0</v>
      </c>
      <c r="I68" s="62">
        <f>IFERROR(G68/E68*100,0)</f>
        <v>0</v>
      </c>
      <c r="J68" s="63">
        <v>0</v>
      </c>
      <c r="K68" s="63">
        <v>0</v>
      </c>
      <c r="L68" s="63">
        <v>0</v>
      </c>
      <c r="M68" s="63">
        <v>0</v>
      </c>
      <c r="N68" s="63">
        <v>0</v>
      </c>
      <c r="O68" s="63">
        <v>0</v>
      </c>
      <c r="P68" s="63">
        <v>0</v>
      </c>
      <c r="Q68" s="63">
        <v>0</v>
      </c>
      <c r="R68" s="63">
        <v>0</v>
      </c>
      <c r="S68" s="63">
        <v>0</v>
      </c>
      <c r="T68" s="63">
        <v>0</v>
      </c>
      <c r="U68" s="67">
        <v>0</v>
      </c>
      <c r="V68" s="63">
        <v>0</v>
      </c>
      <c r="W68" s="63">
        <v>0</v>
      </c>
      <c r="X68" s="63">
        <v>0</v>
      </c>
      <c r="Y68" s="63">
        <v>0</v>
      </c>
      <c r="Z68" s="63">
        <v>0</v>
      </c>
      <c r="AA68" s="63">
        <v>0</v>
      </c>
      <c r="AB68" s="63">
        <v>0</v>
      </c>
      <c r="AC68" s="63">
        <v>0</v>
      </c>
      <c r="AD68" s="63">
        <v>0</v>
      </c>
      <c r="AE68" s="63">
        <v>0</v>
      </c>
      <c r="AF68" s="63">
        <v>0</v>
      </c>
      <c r="AG68" s="63">
        <v>0</v>
      </c>
      <c r="AH68" s="379"/>
      <c r="AI68" s="20"/>
    </row>
    <row r="69" spans="1:35" s="22" customFormat="1" ht="75.75" customHeight="1" x14ac:dyDescent="0.25">
      <c r="A69" s="541"/>
      <c r="B69" s="568"/>
      <c r="C69" s="126" t="s">
        <v>21</v>
      </c>
      <c r="D69" s="74">
        <f>SUM(J69,L69,N69,P69,R69,T69,V69,X69,Z69,AB69,AD69,AF69)</f>
        <v>8991.7999999999993</v>
      </c>
      <c r="E69" s="62">
        <f>J69</f>
        <v>8991.7999999999993</v>
      </c>
      <c r="F69" s="62">
        <f>G69</f>
        <v>8991.7999999999993</v>
      </c>
      <c r="G69" s="62">
        <f t="shared" ref="G69:G71" si="87">SUM(K69,M69,O69,Q69,S69,U69,W69,Y69,AA69,AC69,AE69,AG69)</f>
        <v>8991.7999999999993</v>
      </c>
      <c r="H69" s="62">
        <f>IFERROR(G69/D69*100,0)</f>
        <v>100</v>
      </c>
      <c r="I69" s="62">
        <f>IFERROR(G69/E69*100,0)</f>
        <v>100</v>
      </c>
      <c r="J69" s="63">
        <f>J71+J73</f>
        <v>8991.7999999999993</v>
      </c>
      <c r="K69" s="63">
        <f t="shared" ref="K69:AG69" si="88">K71+K73</f>
        <v>8991.7999999999993</v>
      </c>
      <c r="L69" s="63">
        <f t="shared" si="88"/>
        <v>0</v>
      </c>
      <c r="M69" s="63">
        <f t="shared" si="88"/>
        <v>0</v>
      </c>
      <c r="N69" s="63">
        <f t="shared" si="88"/>
        <v>0</v>
      </c>
      <c r="O69" s="63">
        <f t="shared" si="88"/>
        <v>0</v>
      </c>
      <c r="P69" s="63">
        <f t="shared" si="88"/>
        <v>0</v>
      </c>
      <c r="Q69" s="63">
        <f t="shared" si="88"/>
        <v>0</v>
      </c>
      <c r="R69" s="63">
        <f t="shared" si="88"/>
        <v>0</v>
      </c>
      <c r="S69" s="63">
        <f t="shared" si="88"/>
        <v>0</v>
      </c>
      <c r="T69" s="63">
        <f t="shared" si="88"/>
        <v>0</v>
      </c>
      <c r="U69" s="67">
        <f t="shared" si="88"/>
        <v>0</v>
      </c>
      <c r="V69" s="63">
        <f t="shared" si="88"/>
        <v>0</v>
      </c>
      <c r="W69" s="63">
        <f t="shared" si="88"/>
        <v>0</v>
      </c>
      <c r="X69" s="63">
        <f t="shared" si="88"/>
        <v>0</v>
      </c>
      <c r="Y69" s="63">
        <f t="shared" si="88"/>
        <v>0</v>
      </c>
      <c r="Z69" s="63">
        <f t="shared" si="88"/>
        <v>0</v>
      </c>
      <c r="AA69" s="63">
        <f t="shared" si="88"/>
        <v>0</v>
      </c>
      <c r="AB69" s="63">
        <f t="shared" si="88"/>
        <v>0</v>
      </c>
      <c r="AC69" s="63">
        <f t="shared" si="88"/>
        <v>0</v>
      </c>
      <c r="AD69" s="63">
        <f t="shared" si="88"/>
        <v>0</v>
      </c>
      <c r="AE69" s="63">
        <f t="shared" si="88"/>
        <v>0</v>
      </c>
      <c r="AF69" s="63">
        <f t="shared" si="88"/>
        <v>0</v>
      </c>
      <c r="AG69" s="63">
        <f t="shared" si="88"/>
        <v>0</v>
      </c>
      <c r="AH69" s="424"/>
      <c r="AI69" s="20"/>
    </row>
    <row r="70" spans="1:35" s="22" customFormat="1" ht="63.75" customHeight="1" x14ac:dyDescent="0.25">
      <c r="A70" s="116"/>
      <c r="B70" s="557" t="s">
        <v>134</v>
      </c>
      <c r="C70" s="125" t="s">
        <v>20</v>
      </c>
      <c r="D70" s="74">
        <f t="shared" ref="D70:AG70" si="89">D71</f>
        <v>8869.2999999999993</v>
      </c>
      <c r="E70" s="62">
        <f t="shared" si="89"/>
        <v>8869.2999999999993</v>
      </c>
      <c r="F70" s="62">
        <f t="shared" ref="F70:F73" si="90">G70</f>
        <v>8869.2999999999993</v>
      </c>
      <c r="G70" s="62">
        <f>G71</f>
        <v>8869.2999999999993</v>
      </c>
      <c r="H70" s="62">
        <f t="shared" ref="H70:H74" si="91">IFERROR(G70/D70*100,0)</f>
        <v>100</v>
      </c>
      <c r="I70" s="62">
        <f t="shared" ref="I70:I74" si="92">IFERROR(G70/E70*100,0)</f>
        <v>100</v>
      </c>
      <c r="J70" s="62">
        <f t="shared" si="89"/>
        <v>8869.2999999999993</v>
      </c>
      <c r="K70" s="62">
        <f t="shared" si="89"/>
        <v>8869.2999999999993</v>
      </c>
      <c r="L70" s="62">
        <f t="shared" si="89"/>
        <v>0</v>
      </c>
      <c r="M70" s="62">
        <f t="shared" si="89"/>
        <v>0</v>
      </c>
      <c r="N70" s="62">
        <f t="shared" si="89"/>
        <v>0</v>
      </c>
      <c r="O70" s="62">
        <f t="shared" si="89"/>
        <v>0</v>
      </c>
      <c r="P70" s="62">
        <f t="shared" si="89"/>
        <v>0</v>
      </c>
      <c r="Q70" s="62">
        <f t="shared" si="89"/>
        <v>0</v>
      </c>
      <c r="R70" s="62">
        <f t="shared" si="89"/>
        <v>0</v>
      </c>
      <c r="S70" s="62">
        <f t="shared" si="89"/>
        <v>0</v>
      </c>
      <c r="T70" s="62">
        <f t="shared" si="89"/>
        <v>0</v>
      </c>
      <c r="U70" s="74">
        <f t="shared" si="89"/>
        <v>0</v>
      </c>
      <c r="V70" s="62">
        <f t="shared" si="89"/>
        <v>0</v>
      </c>
      <c r="W70" s="62">
        <f t="shared" si="89"/>
        <v>0</v>
      </c>
      <c r="X70" s="62">
        <f t="shared" si="89"/>
        <v>0</v>
      </c>
      <c r="Y70" s="62">
        <f t="shared" si="89"/>
        <v>0</v>
      </c>
      <c r="Z70" s="62">
        <f t="shared" si="89"/>
        <v>0</v>
      </c>
      <c r="AA70" s="62">
        <f t="shared" si="89"/>
        <v>0</v>
      </c>
      <c r="AB70" s="62">
        <f t="shared" si="89"/>
        <v>0</v>
      </c>
      <c r="AC70" s="62">
        <f t="shared" si="89"/>
        <v>0</v>
      </c>
      <c r="AD70" s="62">
        <f t="shared" si="89"/>
        <v>0</v>
      </c>
      <c r="AE70" s="62">
        <f t="shared" si="89"/>
        <v>0</v>
      </c>
      <c r="AF70" s="62">
        <f t="shared" si="89"/>
        <v>0</v>
      </c>
      <c r="AG70" s="62">
        <f t="shared" si="89"/>
        <v>0</v>
      </c>
      <c r="AH70" s="296"/>
      <c r="AI70" s="20"/>
    </row>
    <row r="71" spans="1:35" s="22" customFormat="1" ht="57" customHeight="1" x14ac:dyDescent="0.25">
      <c r="A71" s="116"/>
      <c r="B71" s="557"/>
      <c r="C71" s="126" t="s">
        <v>21</v>
      </c>
      <c r="D71" s="74">
        <f t="shared" ref="D71" si="93">SUM(J71,L71,N71,P71,R71,T71,V71,X71,Z71,AB71,AD71,AF71)</f>
        <v>8869.2999999999993</v>
      </c>
      <c r="E71" s="62">
        <f t="shared" ref="E71" si="94">J71</f>
        <v>8869.2999999999993</v>
      </c>
      <c r="F71" s="62">
        <f t="shared" si="90"/>
        <v>8869.2999999999993</v>
      </c>
      <c r="G71" s="62">
        <f t="shared" si="87"/>
        <v>8869.2999999999993</v>
      </c>
      <c r="H71" s="62">
        <f t="shared" si="91"/>
        <v>100</v>
      </c>
      <c r="I71" s="62">
        <f t="shared" si="92"/>
        <v>100</v>
      </c>
      <c r="J71" s="63">
        <v>8869.2999999999993</v>
      </c>
      <c r="K71" s="63">
        <v>8869.2999999999993</v>
      </c>
      <c r="L71" s="63">
        <v>0</v>
      </c>
      <c r="M71" s="63">
        <v>0</v>
      </c>
      <c r="N71" s="63">
        <v>0</v>
      </c>
      <c r="O71" s="63">
        <v>0</v>
      </c>
      <c r="P71" s="63">
        <v>0</v>
      </c>
      <c r="Q71" s="63">
        <v>0</v>
      </c>
      <c r="R71" s="63">
        <v>0</v>
      </c>
      <c r="S71" s="63">
        <v>0</v>
      </c>
      <c r="T71" s="63">
        <v>0</v>
      </c>
      <c r="U71" s="67">
        <v>0</v>
      </c>
      <c r="V71" s="63">
        <v>0</v>
      </c>
      <c r="W71" s="63">
        <v>0</v>
      </c>
      <c r="X71" s="63">
        <v>0</v>
      </c>
      <c r="Y71" s="63">
        <v>0</v>
      </c>
      <c r="Z71" s="63">
        <v>0</v>
      </c>
      <c r="AA71" s="63">
        <v>0</v>
      </c>
      <c r="AB71" s="63">
        <v>0</v>
      </c>
      <c r="AC71" s="63">
        <v>0</v>
      </c>
      <c r="AD71" s="63">
        <v>0</v>
      </c>
      <c r="AE71" s="63">
        <v>0</v>
      </c>
      <c r="AF71" s="63">
        <v>0</v>
      </c>
      <c r="AG71" s="63">
        <v>0</v>
      </c>
      <c r="AH71" s="296"/>
      <c r="AI71" s="20"/>
    </row>
    <row r="72" spans="1:35" s="22" customFormat="1" ht="56.25" customHeight="1" x14ac:dyDescent="0.25">
      <c r="A72" s="116"/>
      <c r="B72" s="557" t="s">
        <v>135</v>
      </c>
      <c r="C72" s="125" t="s">
        <v>20</v>
      </c>
      <c r="D72" s="74">
        <f t="shared" ref="D72:E72" si="95">D73</f>
        <v>122.5</v>
      </c>
      <c r="E72" s="62">
        <f t="shared" si="95"/>
        <v>122.5</v>
      </c>
      <c r="F72" s="62">
        <f t="shared" si="90"/>
        <v>122.5</v>
      </c>
      <c r="G72" s="62">
        <f>G73</f>
        <v>122.5</v>
      </c>
      <c r="H72" s="62">
        <f t="shared" si="91"/>
        <v>100</v>
      </c>
      <c r="I72" s="62">
        <f t="shared" si="92"/>
        <v>100</v>
      </c>
      <c r="J72" s="62">
        <f t="shared" ref="J72:AG72" si="96">J73</f>
        <v>122.5</v>
      </c>
      <c r="K72" s="62">
        <f t="shared" si="96"/>
        <v>122.5</v>
      </c>
      <c r="L72" s="62">
        <f t="shared" si="96"/>
        <v>0</v>
      </c>
      <c r="M72" s="62">
        <f t="shared" si="96"/>
        <v>0</v>
      </c>
      <c r="N72" s="62">
        <f t="shared" si="96"/>
        <v>0</v>
      </c>
      <c r="O72" s="62">
        <f t="shared" si="96"/>
        <v>0</v>
      </c>
      <c r="P72" s="62">
        <f t="shared" si="96"/>
        <v>0</v>
      </c>
      <c r="Q72" s="62">
        <f t="shared" si="96"/>
        <v>0</v>
      </c>
      <c r="R72" s="62">
        <f t="shared" si="96"/>
        <v>0</v>
      </c>
      <c r="S72" s="62">
        <f t="shared" si="96"/>
        <v>0</v>
      </c>
      <c r="T72" s="62">
        <f t="shared" si="96"/>
        <v>0</v>
      </c>
      <c r="U72" s="74">
        <f t="shared" si="96"/>
        <v>0</v>
      </c>
      <c r="V72" s="62">
        <f t="shared" si="96"/>
        <v>0</v>
      </c>
      <c r="W72" s="62">
        <f t="shared" si="96"/>
        <v>0</v>
      </c>
      <c r="X72" s="62">
        <f t="shared" si="96"/>
        <v>0</v>
      </c>
      <c r="Y72" s="62">
        <f t="shared" si="96"/>
        <v>0</v>
      </c>
      <c r="Z72" s="62">
        <f t="shared" si="96"/>
        <v>0</v>
      </c>
      <c r="AA72" s="62">
        <f t="shared" si="96"/>
        <v>0</v>
      </c>
      <c r="AB72" s="62">
        <f t="shared" si="96"/>
        <v>0</v>
      </c>
      <c r="AC72" s="62">
        <f t="shared" si="96"/>
        <v>0</v>
      </c>
      <c r="AD72" s="62">
        <f t="shared" si="96"/>
        <v>0</v>
      </c>
      <c r="AE72" s="62">
        <f t="shared" si="96"/>
        <v>0</v>
      </c>
      <c r="AF72" s="62">
        <f t="shared" si="96"/>
        <v>0</v>
      </c>
      <c r="AG72" s="62">
        <f t="shared" si="96"/>
        <v>0</v>
      </c>
      <c r="AH72" s="297"/>
      <c r="AI72" s="20"/>
    </row>
    <row r="73" spans="1:35" s="22" customFormat="1" ht="41.25" customHeight="1" x14ac:dyDescent="0.25">
      <c r="A73" s="116"/>
      <c r="B73" s="557"/>
      <c r="C73" s="126" t="s">
        <v>21</v>
      </c>
      <c r="D73" s="74">
        <f t="shared" ref="D73" si="97">SUM(J73,L73,N73,P73,R73,T73,V73,X73,Z73,AB73,AD73,AF73)</f>
        <v>122.5</v>
      </c>
      <c r="E73" s="62">
        <f t="shared" ref="E73" si="98">J73</f>
        <v>122.5</v>
      </c>
      <c r="F73" s="62">
        <f t="shared" si="90"/>
        <v>122.5</v>
      </c>
      <c r="G73" s="62">
        <f t="shared" ref="G73" si="99">SUM(K73,M73,O73,Q73,S73,U73,W73,Y73,AA73,AC73,AE73,AG73)</f>
        <v>122.5</v>
      </c>
      <c r="H73" s="62">
        <f t="shared" si="91"/>
        <v>100</v>
      </c>
      <c r="I73" s="62">
        <f t="shared" si="92"/>
        <v>100</v>
      </c>
      <c r="J73" s="63">
        <v>122.5</v>
      </c>
      <c r="K73" s="63">
        <v>122.5</v>
      </c>
      <c r="L73" s="63">
        <v>0</v>
      </c>
      <c r="M73" s="63">
        <v>0</v>
      </c>
      <c r="N73" s="63">
        <v>0</v>
      </c>
      <c r="O73" s="63">
        <v>0</v>
      </c>
      <c r="P73" s="63">
        <v>0</v>
      </c>
      <c r="Q73" s="63">
        <v>0</v>
      </c>
      <c r="R73" s="63">
        <v>0</v>
      </c>
      <c r="S73" s="63">
        <v>0</v>
      </c>
      <c r="T73" s="63">
        <v>0</v>
      </c>
      <c r="U73" s="67">
        <v>0</v>
      </c>
      <c r="V73" s="63">
        <v>0</v>
      </c>
      <c r="W73" s="63">
        <v>0</v>
      </c>
      <c r="X73" s="63">
        <v>0</v>
      </c>
      <c r="Y73" s="63">
        <v>0</v>
      </c>
      <c r="Z73" s="63">
        <v>0</v>
      </c>
      <c r="AA73" s="63">
        <v>0</v>
      </c>
      <c r="AB73" s="63">
        <v>0</v>
      </c>
      <c r="AC73" s="63">
        <v>0</v>
      </c>
      <c r="AD73" s="63">
        <v>0</v>
      </c>
      <c r="AE73" s="63">
        <v>0</v>
      </c>
      <c r="AF73" s="63">
        <v>0</v>
      </c>
      <c r="AG73" s="63">
        <v>0</v>
      </c>
      <c r="AH73" s="60"/>
      <c r="AI73" s="20"/>
    </row>
    <row r="74" spans="1:35" s="22" customFormat="1" ht="38.25" customHeight="1" x14ac:dyDescent="0.25">
      <c r="A74" s="539"/>
      <c r="B74" s="555" t="s">
        <v>136</v>
      </c>
      <c r="C74" s="125" t="s">
        <v>20</v>
      </c>
      <c r="D74" s="70">
        <f>D76+D75</f>
        <v>22321.3</v>
      </c>
      <c r="E74" s="58">
        <f>E76+E75</f>
        <v>19760.874999999996</v>
      </c>
      <c r="F74" s="58">
        <f>F76+F75</f>
        <v>9130.14</v>
      </c>
      <c r="G74" s="58">
        <f>G76+G75</f>
        <v>12903.319</v>
      </c>
      <c r="H74" s="58">
        <f t="shared" si="91"/>
        <v>57.807202089484036</v>
      </c>
      <c r="I74" s="58">
        <f t="shared" si="92"/>
        <v>65.297305913832275</v>
      </c>
      <c r="J74" s="59">
        <f t="shared" ref="J74:AG74" si="100">J76+J75</f>
        <v>3313.4</v>
      </c>
      <c r="K74" s="59">
        <f t="shared" si="100"/>
        <v>1115.028</v>
      </c>
      <c r="L74" s="59">
        <f t="shared" si="100"/>
        <v>3192.625</v>
      </c>
      <c r="M74" s="59">
        <f t="shared" si="100"/>
        <v>2472.8589999999999</v>
      </c>
      <c r="N74" s="59">
        <f t="shared" si="100"/>
        <v>1420.81</v>
      </c>
      <c r="O74" s="59">
        <f t="shared" si="100"/>
        <v>838.51</v>
      </c>
      <c r="P74" s="59">
        <f t="shared" si="100"/>
        <v>8380.4399999999987</v>
      </c>
      <c r="Q74" s="59">
        <f t="shared" si="100"/>
        <v>3703.4690000000001</v>
      </c>
      <c r="R74" s="59">
        <f t="shared" si="100"/>
        <v>1958.8</v>
      </c>
      <c r="S74" s="59">
        <f t="shared" si="100"/>
        <v>856.8</v>
      </c>
      <c r="T74" s="59">
        <f t="shared" si="100"/>
        <v>0</v>
      </c>
      <c r="U74" s="71">
        <f t="shared" si="100"/>
        <v>1684.38</v>
      </c>
      <c r="V74" s="59">
        <f t="shared" si="100"/>
        <v>0</v>
      </c>
      <c r="W74" s="59">
        <f t="shared" si="100"/>
        <v>1311.903</v>
      </c>
      <c r="X74" s="59">
        <f t="shared" si="100"/>
        <v>1494.8</v>
      </c>
      <c r="Y74" s="59">
        <f t="shared" si="100"/>
        <v>920.37</v>
      </c>
      <c r="Z74" s="59">
        <f t="shared" si="100"/>
        <v>27.524999999999999</v>
      </c>
      <c r="AA74" s="59">
        <f t="shared" si="100"/>
        <v>0</v>
      </c>
      <c r="AB74" s="59">
        <f t="shared" si="100"/>
        <v>2404.1999999999998</v>
      </c>
      <c r="AC74" s="59">
        <f t="shared" si="100"/>
        <v>0</v>
      </c>
      <c r="AD74" s="59">
        <f t="shared" si="100"/>
        <v>0</v>
      </c>
      <c r="AE74" s="59">
        <f t="shared" si="100"/>
        <v>0</v>
      </c>
      <c r="AF74" s="59">
        <f t="shared" si="100"/>
        <v>128.69999999999999</v>
      </c>
      <c r="AG74" s="59">
        <f t="shared" si="100"/>
        <v>0</v>
      </c>
      <c r="AH74" s="60"/>
      <c r="AI74" s="20"/>
    </row>
    <row r="75" spans="1:35" s="22" customFormat="1" ht="37.5" hidden="1" customHeight="1" x14ac:dyDescent="0.25">
      <c r="A75" s="540"/>
      <c r="B75" s="556"/>
      <c r="C75" s="126" t="s">
        <v>22</v>
      </c>
      <c r="D75" s="74">
        <f>SUM(J75,L75,N75,P75,R75,T75,V75,X75,Z75,AB75,AD75,AF75)</f>
        <v>1203.3</v>
      </c>
      <c r="E75" s="62">
        <f>J75+L75+N75+P75+R75+T75+V75+X75</f>
        <v>1203.3</v>
      </c>
      <c r="F75" s="62">
        <f>G75</f>
        <v>1203.3</v>
      </c>
      <c r="G75" s="62">
        <f>SUM(K75,M75,O75,Q75,S75,U75,W75,Y75,AA75,AC75,AE75,AG75)</f>
        <v>1203.3</v>
      </c>
      <c r="H75" s="62">
        <f>IFERROR(G75/D75*100,0)</f>
        <v>100</v>
      </c>
      <c r="I75" s="62">
        <f>IFERROR(G75/E75*100,0)</f>
        <v>100</v>
      </c>
      <c r="J75" s="63">
        <v>0</v>
      </c>
      <c r="K75" s="63">
        <v>0</v>
      </c>
      <c r="L75" s="63">
        <v>0</v>
      </c>
      <c r="M75" s="63">
        <v>0</v>
      </c>
      <c r="N75" s="63">
        <v>0</v>
      </c>
      <c r="O75" s="63">
        <v>0</v>
      </c>
      <c r="P75" s="63">
        <v>664.5</v>
      </c>
      <c r="Q75" s="63">
        <v>664.5</v>
      </c>
      <c r="R75" s="63">
        <v>538.79999999999995</v>
      </c>
      <c r="S75" s="63">
        <v>538.79999999999995</v>
      </c>
      <c r="T75" s="63">
        <v>0</v>
      </c>
      <c r="U75" s="67">
        <v>0</v>
      </c>
      <c r="V75" s="63">
        <v>0</v>
      </c>
      <c r="W75" s="63">
        <v>0</v>
      </c>
      <c r="X75" s="63">
        <v>0</v>
      </c>
      <c r="Y75" s="63">
        <v>0</v>
      </c>
      <c r="Z75" s="63">
        <v>0</v>
      </c>
      <c r="AA75" s="63">
        <v>0</v>
      </c>
      <c r="AB75" s="63">
        <v>0</v>
      </c>
      <c r="AC75" s="63">
        <v>0</v>
      </c>
      <c r="AD75" s="63">
        <v>0</v>
      </c>
      <c r="AE75" s="63">
        <v>0</v>
      </c>
      <c r="AF75" s="63">
        <v>0</v>
      </c>
      <c r="AG75" s="63">
        <v>0</v>
      </c>
      <c r="AH75" s="63">
        <v>0</v>
      </c>
      <c r="AI75" s="20"/>
    </row>
    <row r="76" spans="1:35" s="22" customFormat="1" ht="75.75" customHeight="1" x14ac:dyDescent="0.25">
      <c r="A76" s="541"/>
      <c r="B76" s="556"/>
      <c r="C76" s="126" t="s">
        <v>21</v>
      </c>
      <c r="D76" s="74">
        <f>SUM(J76,L76,N76,P76,R76,T76,V76,X76,Z76,AB76,AD76,AF76)</f>
        <v>21118</v>
      </c>
      <c r="E76" s="62">
        <f>J76+L76+N76+P76+R76+T76+V76+X76</f>
        <v>18557.574999999997</v>
      </c>
      <c r="F76" s="62">
        <v>7926.84</v>
      </c>
      <c r="G76" s="62">
        <f>SUM(K76,M76,O76,Q76,S76,U76,W76,Y76,AA76,AC76,AE76,AG76)</f>
        <v>11700.019</v>
      </c>
      <c r="H76" s="62">
        <f>IFERROR(G76/D76*100,0)</f>
        <v>55.403063737096318</v>
      </c>
      <c r="I76" s="62">
        <f>IFERROR(G76/E76*100,0)</f>
        <v>63.047133044053453</v>
      </c>
      <c r="J76" s="63">
        <v>3313.4</v>
      </c>
      <c r="K76" s="63">
        <v>1115.028</v>
      </c>
      <c r="L76" s="63">
        <v>3192.625</v>
      </c>
      <c r="M76" s="63">
        <v>2472.8589999999999</v>
      </c>
      <c r="N76" s="63">
        <v>1420.81</v>
      </c>
      <c r="O76" s="63">
        <v>838.51</v>
      </c>
      <c r="P76" s="63">
        <v>7715.94</v>
      </c>
      <c r="Q76" s="63">
        <v>3038.9690000000001</v>
      </c>
      <c r="R76" s="63">
        <v>1420</v>
      </c>
      <c r="S76" s="67">
        <v>318</v>
      </c>
      <c r="T76" s="63">
        <v>0</v>
      </c>
      <c r="U76" s="67">
        <v>1684.38</v>
      </c>
      <c r="V76" s="63">
        <v>0</v>
      </c>
      <c r="W76" s="63">
        <v>1311.903</v>
      </c>
      <c r="X76" s="63">
        <v>1494.8</v>
      </c>
      <c r="Y76" s="63">
        <v>920.37</v>
      </c>
      <c r="Z76" s="63">
        <v>27.524999999999999</v>
      </c>
      <c r="AA76" s="63">
        <v>0</v>
      </c>
      <c r="AB76" s="63">
        <v>2404.1999999999998</v>
      </c>
      <c r="AC76" s="63">
        <v>0</v>
      </c>
      <c r="AD76" s="63">
        <v>0</v>
      </c>
      <c r="AE76" s="63">
        <v>0</v>
      </c>
      <c r="AF76" s="63">
        <v>128.69999999999999</v>
      </c>
      <c r="AG76" s="63">
        <v>0</v>
      </c>
      <c r="AH76" s="300" t="s">
        <v>455</v>
      </c>
      <c r="AI76" s="20"/>
    </row>
    <row r="77" spans="1:35" s="22" customFormat="1" ht="23.25" customHeight="1" x14ac:dyDescent="0.25">
      <c r="A77" s="545" t="s">
        <v>51</v>
      </c>
      <c r="B77" s="542" t="s">
        <v>137</v>
      </c>
      <c r="C77" s="126" t="s">
        <v>20</v>
      </c>
      <c r="D77" s="74">
        <f>D79+D78</f>
        <v>190065.18800000002</v>
      </c>
      <c r="E77" s="62">
        <f t="shared" ref="E77:G77" si="101">E79+E78</f>
        <v>14536.495999999999</v>
      </c>
      <c r="F77" s="62">
        <f t="shared" si="101"/>
        <v>96912.260000000009</v>
      </c>
      <c r="G77" s="62">
        <f t="shared" si="101"/>
        <v>96912.260000000009</v>
      </c>
      <c r="H77" s="62">
        <f t="shared" ref="H77" si="102">IFERROR(G77/D77*100,0)</f>
        <v>50.988958588250256</v>
      </c>
      <c r="I77" s="62">
        <f t="shared" ref="I77" si="103">IFERROR(G77/E77*100,0)</f>
        <v>666.68239718842847</v>
      </c>
      <c r="J77" s="63">
        <f>J79+J78</f>
        <v>14536.495999999999</v>
      </c>
      <c r="K77" s="63">
        <f t="shared" ref="K77:AG77" si="104">K79+K78</f>
        <v>3101.25</v>
      </c>
      <c r="L77" s="63">
        <f t="shared" si="104"/>
        <v>11470.393999999998</v>
      </c>
      <c r="M77" s="63">
        <f t="shared" si="104"/>
        <v>16259.92</v>
      </c>
      <c r="N77" s="63">
        <f t="shared" si="104"/>
        <v>12827.110999999999</v>
      </c>
      <c r="O77" s="63">
        <f t="shared" si="104"/>
        <v>10513.800000000001</v>
      </c>
      <c r="P77" s="63">
        <f t="shared" si="104"/>
        <v>20736.489999999998</v>
      </c>
      <c r="Q77" s="63">
        <f t="shared" si="104"/>
        <v>16017.029999999999</v>
      </c>
      <c r="R77" s="63">
        <f t="shared" si="104"/>
        <v>27670.249</v>
      </c>
      <c r="S77" s="63">
        <f t="shared" si="104"/>
        <v>11012.86</v>
      </c>
      <c r="T77" s="63">
        <f t="shared" si="104"/>
        <v>27173.512999999999</v>
      </c>
      <c r="U77" s="67">
        <f t="shared" si="104"/>
        <v>24046.120000000003</v>
      </c>
      <c r="V77" s="63">
        <f t="shared" si="104"/>
        <v>12689.179999999998</v>
      </c>
      <c r="W77" s="63">
        <f t="shared" si="104"/>
        <v>13863.83</v>
      </c>
      <c r="X77" s="63">
        <f t="shared" si="104"/>
        <v>8446.6299999999992</v>
      </c>
      <c r="Y77" s="63">
        <f t="shared" si="104"/>
        <v>2097.4500000000003</v>
      </c>
      <c r="Z77" s="63">
        <f t="shared" si="104"/>
        <v>8684.8350000000009</v>
      </c>
      <c r="AA77" s="63">
        <f t="shared" si="104"/>
        <v>0</v>
      </c>
      <c r="AB77" s="63">
        <f t="shared" si="104"/>
        <v>18455.164000000001</v>
      </c>
      <c r="AC77" s="63">
        <f t="shared" si="104"/>
        <v>0</v>
      </c>
      <c r="AD77" s="63">
        <f t="shared" si="104"/>
        <v>11423.13</v>
      </c>
      <c r="AE77" s="63">
        <f t="shared" si="104"/>
        <v>0</v>
      </c>
      <c r="AF77" s="63">
        <f t="shared" si="104"/>
        <v>15951.995999999999</v>
      </c>
      <c r="AG77" s="63">
        <f t="shared" si="104"/>
        <v>0</v>
      </c>
      <c r="AH77" s="309"/>
      <c r="AI77" s="20"/>
    </row>
    <row r="78" spans="1:35" s="22" customFormat="1" ht="45" customHeight="1" x14ac:dyDescent="0.25">
      <c r="A78" s="546"/>
      <c r="B78" s="543"/>
      <c r="C78" s="126" t="s">
        <v>21</v>
      </c>
      <c r="D78" s="74">
        <f>SUM(J78,L78,N78,P78,R78,T78,V78,X78,Z78,AB78,AD78,AF78)</f>
        <v>185284.7</v>
      </c>
      <c r="E78" s="62">
        <f>J78</f>
        <v>14071.286</v>
      </c>
      <c r="F78" s="62">
        <f>G78</f>
        <v>93828.19</v>
      </c>
      <c r="G78" s="62">
        <f>SUM(K78,M78,O78,Q78,S78,U78,W78,Y78,AA78,AC78,AE78,AG78)</f>
        <v>93828.19</v>
      </c>
      <c r="H78" s="62">
        <f>IFERROR(G78/D78*100,0)</f>
        <v>50.64000967160267</v>
      </c>
      <c r="I78" s="62">
        <f>IFERROR(G78/E78*100,0)</f>
        <v>666.80607586257577</v>
      </c>
      <c r="J78" s="63">
        <v>14071.286</v>
      </c>
      <c r="K78" s="63">
        <v>3101.25</v>
      </c>
      <c r="L78" s="63">
        <v>10998.183999999999</v>
      </c>
      <c r="M78" s="63">
        <v>15891.16</v>
      </c>
      <c r="N78" s="63">
        <v>12361.901</v>
      </c>
      <c r="O78" s="63">
        <v>10045.36</v>
      </c>
      <c r="P78" s="63">
        <v>20271.78</v>
      </c>
      <c r="Q78" s="63">
        <v>15642.05</v>
      </c>
      <c r="R78" s="63">
        <v>26318.699000000001</v>
      </c>
      <c r="S78" s="63">
        <v>10135.18</v>
      </c>
      <c r="T78" s="63">
        <v>27066.694</v>
      </c>
      <c r="U78" s="67">
        <v>23316.81</v>
      </c>
      <c r="V78" s="63">
        <v>12605.3</v>
      </c>
      <c r="W78" s="63">
        <v>13662.69</v>
      </c>
      <c r="X78" s="63">
        <v>8371.0499999999993</v>
      </c>
      <c r="Y78" s="63">
        <v>2033.69</v>
      </c>
      <c r="Z78" s="63">
        <v>8199.0650000000005</v>
      </c>
      <c r="AA78" s="63">
        <v>0</v>
      </c>
      <c r="AB78" s="63">
        <v>17971.083999999999</v>
      </c>
      <c r="AC78" s="63">
        <v>0</v>
      </c>
      <c r="AD78" s="63">
        <v>11265.89</v>
      </c>
      <c r="AE78" s="63">
        <v>0</v>
      </c>
      <c r="AF78" s="63">
        <v>15783.767</v>
      </c>
      <c r="AG78" s="63">
        <v>0</v>
      </c>
      <c r="AH78" s="64"/>
      <c r="AI78" s="20"/>
    </row>
    <row r="79" spans="1:35" s="22" customFormat="1" ht="61.5" customHeight="1" x14ac:dyDescent="0.25">
      <c r="A79" s="540"/>
      <c r="B79" s="543"/>
      <c r="C79" s="126" t="s">
        <v>113</v>
      </c>
      <c r="D79" s="74">
        <f>SUM(J79,L79,N79,P79,R79,T79,V79,X79,Z79,AB79,AD79,AF79)</f>
        <v>4780.4880000000003</v>
      </c>
      <c r="E79" s="62">
        <f>J79</f>
        <v>465.21</v>
      </c>
      <c r="F79" s="62">
        <f>G79</f>
        <v>3084.07</v>
      </c>
      <c r="G79" s="62">
        <f>SUM(K79,M79,O79,Q79,S79,U79,W79,Y79,AA79,AC79,AE79,AG79)</f>
        <v>3084.07</v>
      </c>
      <c r="H79" s="62">
        <f>IFERROR(G79/D79*100,0)</f>
        <v>64.513706550460952</v>
      </c>
      <c r="I79" s="62">
        <f>IFERROR(G79/E79*100,0)</f>
        <v>662.94146729434033</v>
      </c>
      <c r="J79" s="63">
        <v>465.21</v>
      </c>
      <c r="K79" s="63">
        <v>0</v>
      </c>
      <c r="L79" s="63">
        <v>472.21</v>
      </c>
      <c r="M79" s="63">
        <v>368.76</v>
      </c>
      <c r="N79" s="63">
        <v>465.21</v>
      </c>
      <c r="O79" s="63">
        <v>468.44</v>
      </c>
      <c r="P79" s="63">
        <v>464.71</v>
      </c>
      <c r="Q79" s="63">
        <v>374.98</v>
      </c>
      <c r="R79" s="63">
        <v>1351.55</v>
      </c>
      <c r="S79" s="63">
        <v>877.68</v>
      </c>
      <c r="T79" s="63">
        <v>106.819</v>
      </c>
      <c r="U79" s="67">
        <v>729.31</v>
      </c>
      <c r="V79" s="63">
        <v>83.88</v>
      </c>
      <c r="W79" s="63">
        <v>201.14</v>
      </c>
      <c r="X79" s="63">
        <v>75.58</v>
      </c>
      <c r="Y79" s="63">
        <v>63.76</v>
      </c>
      <c r="Z79" s="63">
        <v>485.77</v>
      </c>
      <c r="AA79" s="63">
        <v>0</v>
      </c>
      <c r="AB79" s="63">
        <v>484.08</v>
      </c>
      <c r="AC79" s="63">
        <v>0</v>
      </c>
      <c r="AD79" s="63">
        <v>157.24</v>
      </c>
      <c r="AE79" s="63">
        <v>0</v>
      </c>
      <c r="AF79" s="63">
        <v>168.22900000000001</v>
      </c>
      <c r="AG79" s="63">
        <v>0</v>
      </c>
      <c r="AH79" s="424"/>
      <c r="AI79" s="20"/>
    </row>
    <row r="80" spans="1:35" s="22" customFormat="1" ht="56.25" customHeight="1" x14ac:dyDescent="0.25">
      <c r="A80" s="540" t="s">
        <v>138</v>
      </c>
      <c r="B80" s="542" t="s">
        <v>139</v>
      </c>
      <c r="C80" s="125" t="s">
        <v>20</v>
      </c>
      <c r="D80" s="74">
        <f t="shared" ref="D80:E80" si="105">D81</f>
        <v>5832.1999999999989</v>
      </c>
      <c r="E80" s="62">
        <f t="shared" si="105"/>
        <v>5800.2999999999993</v>
      </c>
      <c r="F80" s="62">
        <f t="shared" ref="F80:F81" si="106">G80</f>
        <v>4972.2649999999994</v>
      </c>
      <c r="G80" s="62">
        <f>G81</f>
        <v>4972.2649999999994</v>
      </c>
      <c r="H80" s="62">
        <f t="shared" ref="H80:H93" si="107">IFERROR(G80/D80*100,0)</f>
        <v>85.255392476252538</v>
      </c>
      <c r="I80" s="62">
        <f t="shared" ref="I80:I93" si="108">IFERROR(G80/E80*100,0)</f>
        <v>85.72427288243712</v>
      </c>
      <c r="J80" s="62">
        <f t="shared" ref="J80:AG80" si="109">J81</f>
        <v>32.9</v>
      </c>
      <c r="K80" s="62">
        <f t="shared" si="109"/>
        <v>13.587999999999999</v>
      </c>
      <c r="L80" s="62">
        <f t="shared" si="109"/>
        <v>228.3</v>
      </c>
      <c r="M80" s="62">
        <f t="shared" si="109"/>
        <v>126.679</v>
      </c>
      <c r="N80" s="62">
        <f t="shared" si="109"/>
        <v>665.8</v>
      </c>
      <c r="O80" s="62">
        <f t="shared" si="109"/>
        <v>309</v>
      </c>
      <c r="P80" s="62">
        <f t="shared" si="109"/>
        <v>2928.6</v>
      </c>
      <c r="Q80" s="62">
        <f t="shared" si="109"/>
        <v>1850.6320000000001</v>
      </c>
      <c r="R80" s="62">
        <f t="shared" si="109"/>
        <v>63.4</v>
      </c>
      <c r="S80" s="62">
        <f t="shared" si="109"/>
        <v>1173.566</v>
      </c>
      <c r="T80" s="62">
        <f t="shared" si="109"/>
        <v>0</v>
      </c>
      <c r="U80" s="74">
        <f t="shared" si="109"/>
        <v>25</v>
      </c>
      <c r="V80" s="62">
        <f t="shared" si="109"/>
        <v>1817.9</v>
      </c>
      <c r="W80" s="62">
        <f t="shared" si="109"/>
        <v>1336.4</v>
      </c>
      <c r="X80" s="62">
        <f t="shared" si="109"/>
        <v>63.4</v>
      </c>
      <c r="Y80" s="62">
        <f t="shared" si="109"/>
        <v>137.4</v>
      </c>
      <c r="Z80" s="62">
        <f t="shared" si="109"/>
        <v>0</v>
      </c>
      <c r="AA80" s="62">
        <f t="shared" si="109"/>
        <v>0</v>
      </c>
      <c r="AB80" s="62">
        <f t="shared" si="109"/>
        <v>23.7</v>
      </c>
      <c r="AC80" s="62">
        <f t="shared" si="109"/>
        <v>0</v>
      </c>
      <c r="AD80" s="62">
        <f t="shared" si="109"/>
        <v>8.1999999999999993</v>
      </c>
      <c r="AE80" s="62">
        <f t="shared" si="109"/>
        <v>0</v>
      </c>
      <c r="AF80" s="62">
        <f t="shared" si="109"/>
        <v>0</v>
      </c>
      <c r="AG80" s="62">
        <f t="shared" si="109"/>
        <v>0</v>
      </c>
      <c r="AH80" s="296"/>
      <c r="AI80" s="20"/>
    </row>
    <row r="81" spans="1:35" s="22" customFormat="1" ht="41.25" customHeight="1" x14ac:dyDescent="0.25">
      <c r="A81" s="540"/>
      <c r="B81" s="543"/>
      <c r="C81" s="126" t="s">
        <v>21</v>
      </c>
      <c r="D81" s="74">
        <f t="shared" ref="D81" si="110">SUM(J81,L81,N81,P81,R81,T81,V81,X81,Z81,AB81,AD81,AF81)</f>
        <v>5832.1999999999989</v>
      </c>
      <c r="E81" s="62">
        <f>J81+L81+N81+P81+R81+T81+V81+X81</f>
        <v>5800.2999999999993</v>
      </c>
      <c r="F81" s="62">
        <f t="shared" si="106"/>
        <v>4972.2649999999994</v>
      </c>
      <c r="G81" s="62">
        <f t="shared" ref="G81" si="111">SUM(K81,M81,O81,Q81,S81,U81,W81,Y81,AA81,AC81,AE81,AG81)</f>
        <v>4972.2649999999994</v>
      </c>
      <c r="H81" s="62">
        <f t="shared" si="107"/>
        <v>85.255392476252538</v>
      </c>
      <c r="I81" s="62">
        <f t="shared" si="108"/>
        <v>85.72427288243712</v>
      </c>
      <c r="J81" s="63">
        <v>32.9</v>
      </c>
      <c r="K81" s="63">
        <v>13.587999999999999</v>
      </c>
      <c r="L81" s="63">
        <v>228.3</v>
      </c>
      <c r="M81" s="63">
        <v>126.679</v>
      </c>
      <c r="N81" s="63">
        <v>665.8</v>
      </c>
      <c r="O81" s="63">
        <v>309</v>
      </c>
      <c r="P81" s="63">
        <v>2928.6</v>
      </c>
      <c r="Q81" s="63">
        <v>1850.6320000000001</v>
      </c>
      <c r="R81" s="63">
        <v>63.4</v>
      </c>
      <c r="S81" s="63">
        <v>1173.566</v>
      </c>
      <c r="T81" s="63">
        <v>0</v>
      </c>
      <c r="U81" s="67">
        <v>25</v>
      </c>
      <c r="V81" s="63">
        <v>1817.9</v>
      </c>
      <c r="W81" s="63">
        <v>1336.4</v>
      </c>
      <c r="X81" s="63">
        <v>63.4</v>
      </c>
      <c r="Y81" s="63">
        <v>137.4</v>
      </c>
      <c r="Z81" s="63">
        <v>0</v>
      </c>
      <c r="AA81" s="63">
        <v>0</v>
      </c>
      <c r="AB81" s="63">
        <v>23.7</v>
      </c>
      <c r="AC81" s="63">
        <v>0</v>
      </c>
      <c r="AD81" s="63">
        <v>8.1999999999999993</v>
      </c>
      <c r="AE81" s="63">
        <v>0</v>
      </c>
      <c r="AF81" s="63">
        <v>0</v>
      </c>
      <c r="AG81" s="63">
        <v>0</v>
      </c>
      <c r="AH81" s="296"/>
      <c r="AI81" s="20"/>
    </row>
    <row r="82" spans="1:35" s="21" customFormat="1" ht="23.25" customHeight="1" x14ac:dyDescent="0.25">
      <c r="A82" s="539" t="s">
        <v>140</v>
      </c>
      <c r="B82" s="542" t="s">
        <v>141</v>
      </c>
      <c r="C82" s="125" t="s">
        <v>20</v>
      </c>
      <c r="D82" s="70">
        <f>D84+D85+D83</f>
        <v>447.1</v>
      </c>
      <c r="E82" s="58">
        <f t="shared" ref="E82:G82" si="112">E84+E85+E83</f>
        <v>0</v>
      </c>
      <c r="F82" s="58">
        <f t="shared" si="112"/>
        <v>225.38</v>
      </c>
      <c r="G82" s="58">
        <f t="shared" si="112"/>
        <v>225.38</v>
      </c>
      <c r="H82" s="58">
        <f t="shared" si="107"/>
        <v>50.409304406173113</v>
      </c>
      <c r="I82" s="58">
        <f t="shared" si="108"/>
        <v>0</v>
      </c>
      <c r="J82" s="58">
        <f t="shared" ref="J82:AG82" si="113">J84+J85+J83</f>
        <v>0</v>
      </c>
      <c r="K82" s="58">
        <f t="shared" si="113"/>
        <v>0</v>
      </c>
      <c r="L82" s="58">
        <f t="shared" si="113"/>
        <v>0</v>
      </c>
      <c r="M82" s="58">
        <f t="shared" si="113"/>
        <v>0</v>
      </c>
      <c r="N82" s="58">
        <f t="shared" si="113"/>
        <v>116.94499999999999</v>
      </c>
      <c r="O82" s="58">
        <f t="shared" si="113"/>
        <v>0</v>
      </c>
      <c r="P82" s="58">
        <f t="shared" si="113"/>
        <v>15.1</v>
      </c>
      <c r="Q82" s="58">
        <f t="shared" si="113"/>
        <v>123.24</v>
      </c>
      <c r="R82" s="58">
        <f t="shared" si="113"/>
        <v>41.055</v>
      </c>
      <c r="S82" s="58">
        <f t="shared" si="113"/>
        <v>28.14</v>
      </c>
      <c r="T82" s="58">
        <f t="shared" si="113"/>
        <v>0</v>
      </c>
      <c r="U82" s="70">
        <f t="shared" si="113"/>
        <v>0</v>
      </c>
      <c r="V82" s="58">
        <f t="shared" si="113"/>
        <v>74</v>
      </c>
      <c r="W82" s="58">
        <f t="shared" si="113"/>
        <v>0</v>
      </c>
      <c r="X82" s="58">
        <f t="shared" si="113"/>
        <v>60</v>
      </c>
      <c r="Y82" s="58">
        <f t="shared" si="113"/>
        <v>74</v>
      </c>
      <c r="Z82" s="58">
        <f t="shared" si="113"/>
        <v>140</v>
      </c>
      <c r="AA82" s="58">
        <f t="shared" si="113"/>
        <v>0</v>
      </c>
      <c r="AB82" s="58">
        <f t="shared" si="113"/>
        <v>0</v>
      </c>
      <c r="AC82" s="58">
        <f t="shared" si="113"/>
        <v>0</v>
      </c>
      <c r="AD82" s="58">
        <f t="shared" si="113"/>
        <v>0</v>
      </c>
      <c r="AE82" s="58">
        <f t="shared" si="113"/>
        <v>0</v>
      </c>
      <c r="AF82" s="58">
        <f t="shared" si="113"/>
        <v>0</v>
      </c>
      <c r="AG82" s="58">
        <f t="shared" si="113"/>
        <v>0</v>
      </c>
      <c r="AH82" s="297"/>
      <c r="AI82" s="23"/>
    </row>
    <row r="83" spans="1:35" s="21" customFormat="1" ht="17.25" hidden="1" customHeight="1" x14ac:dyDescent="0.25">
      <c r="A83" s="540"/>
      <c r="B83" s="543"/>
      <c r="C83" s="126" t="s">
        <v>52</v>
      </c>
      <c r="D83" s="74">
        <f>SUM(J83,L83,N83,P83,R83,T83,V83,X83,Z83,AB83,AD83,AF83)</f>
        <v>0</v>
      </c>
      <c r="E83" s="62">
        <f>J83</f>
        <v>0</v>
      </c>
      <c r="F83" s="62">
        <f>G83</f>
        <v>0</v>
      </c>
      <c r="G83" s="62">
        <f>SUM(K83,M83,O83,Q83,S83,U83,W83,Y83,AA83,AC83,AE83,AG83)</f>
        <v>0</v>
      </c>
      <c r="H83" s="62">
        <f t="shared" si="107"/>
        <v>0</v>
      </c>
      <c r="I83" s="62">
        <f t="shared" si="108"/>
        <v>0</v>
      </c>
      <c r="J83" s="62">
        <f>J87</f>
        <v>0</v>
      </c>
      <c r="K83" s="62">
        <f t="shared" ref="K83:AG83" si="114">K87</f>
        <v>0</v>
      </c>
      <c r="L83" s="62">
        <f t="shared" si="114"/>
        <v>0</v>
      </c>
      <c r="M83" s="62">
        <f t="shared" si="114"/>
        <v>0</v>
      </c>
      <c r="N83" s="62">
        <f t="shared" si="114"/>
        <v>0</v>
      </c>
      <c r="O83" s="62">
        <f t="shared" si="114"/>
        <v>0</v>
      </c>
      <c r="P83" s="62">
        <f t="shared" si="114"/>
        <v>0</v>
      </c>
      <c r="Q83" s="62">
        <f t="shared" si="114"/>
        <v>0</v>
      </c>
      <c r="R83" s="62">
        <f t="shared" si="114"/>
        <v>0</v>
      </c>
      <c r="S83" s="62">
        <f t="shared" si="114"/>
        <v>0</v>
      </c>
      <c r="T83" s="62">
        <f t="shared" si="114"/>
        <v>0</v>
      </c>
      <c r="U83" s="74">
        <f t="shared" si="114"/>
        <v>0</v>
      </c>
      <c r="V83" s="62">
        <f t="shared" si="114"/>
        <v>0</v>
      </c>
      <c r="W83" s="62">
        <f t="shared" si="114"/>
        <v>0</v>
      </c>
      <c r="X83" s="62">
        <f t="shared" si="114"/>
        <v>0</v>
      </c>
      <c r="Y83" s="62">
        <f t="shared" si="114"/>
        <v>0</v>
      </c>
      <c r="Z83" s="62">
        <f t="shared" si="114"/>
        <v>0</v>
      </c>
      <c r="AA83" s="62">
        <f t="shared" si="114"/>
        <v>0</v>
      </c>
      <c r="AB83" s="62">
        <f t="shared" si="114"/>
        <v>0</v>
      </c>
      <c r="AC83" s="62">
        <f t="shared" si="114"/>
        <v>0</v>
      </c>
      <c r="AD83" s="62">
        <f t="shared" si="114"/>
        <v>0</v>
      </c>
      <c r="AE83" s="62">
        <f t="shared" si="114"/>
        <v>0</v>
      </c>
      <c r="AF83" s="62">
        <f t="shared" si="114"/>
        <v>0</v>
      </c>
      <c r="AG83" s="62">
        <f t="shared" si="114"/>
        <v>0</v>
      </c>
      <c r="AH83" s="60"/>
      <c r="AI83" s="23"/>
    </row>
    <row r="84" spans="1:35" s="21" customFormat="1" ht="37.5" customHeight="1" x14ac:dyDescent="0.25">
      <c r="A84" s="540"/>
      <c r="B84" s="543"/>
      <c r="C84" s="126" t="s">
        <v>22</v>
      </c>
      <c r="D84" s="74">
        <f>SUM(J84,L84,N84,P84,R84,T84,V84,X84,Z84,AB84,AD84,AF84)</f>
        <v>74</v>
      </c>
      <c r="E84" s="62">
        <f>J84</f>
        <v>0</v>
      </c>
      <c r="F84" s="62">
        <f>G84</f>
        <v>74</v>
      </c>
      <c r="G84" s="62">
        <f>SUM(K84,M84,O84,Q84,S84,U84,W84,Y84,AA84,AC84,AE84,AG84)</f>
        <v>74</v>
      </c>
      <c r="H84" s="62">
        <f t="shared" si="107"/>
        <v>100</v>
      </c>
      <c r="I84" s="62">
        <f t="shared" si="108"/>
        <v>0</v>
      </c>
      <c r="J84" s="63">
        <f>J92</f>
        <v>0</v>
      </c>
      <c r="K84" s="63">
        <f t="shared" ref="K84:AG84" si="115">K92</f>
        <v>0</v>
      </c>
      <c r="L84" s="63">
        <f t="shared" si="115"/>
        <v>0</v>
      </c>
      <c r="M84" s="63">
        <f t="shared" si="115"/>
        <v>0</v>
      </c>
      <c r="N84" s="63">
        <f t="shared" si="115"/>
        <v>0</v>
      </c>
      <c r="O84" s="63">
        <f t="shared" si="115"/>
        <v>0</v>
      </c>
      <c r="P84" s="63">
        <f t="shared" si="115"/>
        <v>0</v>
      </c>
      <c r="Q84" s="63">
        <f t="shared" si="115"/>
        <v>0</v>
      </c>
      <c r="R84" s="63">
        <f t="shared" si="115"/>
        <v>0</v>
      </c>
      <c r="S84" s="63">
        <f t="shared" si="115"/>
        <v>0</v>
      </c>
      <c r="T84" s="63">
        <f t="shared" si="115"/>
        <v>0</v>
      </c>
      <c r="U84" s="67">
        <f t="shared" si="115"/>
        <v>0</v>
      </c>
      <c r="V84" s="63">
        <f t="shared" si="115"/>
        <v>74</v>
      </c>
      <c r="W84" s="63">
        <f t="shared" si="115"/>
        <v>0</v>
      </c>
      <c r="X84" s="63">
        <f t="shared" si="115"/>
        <v>0</v>
      </c>
      <c r="Y84" s="63">
        <f t="shared" si="115"/>
        <v>74</v>
      </c>
      <c r="Z84" s="63">
        <f t="shared" si="115"/>
        <v>0</v>
      </c>
      <c r="AA84" s="63">
        <f t="shared" si="115"/>
        <v>0</v>
      </c>
      <c r="AB84" s="63">
        <f t="shared" si="115"/>
        <v>0</v>
      </c>
      <c r="AC84" s="63">
        <f t="shared" si="115"/>
        <v>0</v>
      </c>
      <c r="AD84" s="63">
        <f t="shared" si="115"/>
        <v>0</v>
      </c>
      <c r="AE84" s="63">
        <f t="shared" si="115"/>
        <v>0</v>
      </c>
      <c r="AF84" s="63">
        <f t="shared" si="115"/>
        <v>0</v>
      </c>
      <c r="AG84" s="63">
        <f t="shared" si="115"/>
        <v>0</v>
      </c>
      <c r="AH84" s="381"/>
      <c r="AI84" s="23"/>
    </row>
    <row r="85" spans="1:35" s="22" customFormat="1" ht="33" customHeight="1" x14ac:dyDescent="0.25">
      <c r="A85" s="540"/>
      <c r="B85" s="544"/>
      <c r="C85" s="126" t="s">
        <v>21</v>
      </c>
      <c r="D85" s="74">
        <f>SUM(J85,L85,N85,P85,R85,T85,V85,X85,Z85,AB85,AD85,AF85)</f>
        <v>373.1</v>
      </c>
      <c r="E85" s="62">
        <f>J85</f>
        <v>0</v>
      </c>
      <c r="F85" s="62">
        <f>G85</f>
        <v>151.38</v>
      </c>
      <c r="G85" s="62">
        <f>SUM(K85,M85,O85,Q85,S85,U85,W85,Y85,AA85,AC85,AE85,AG85)</f>
        <v>151.38</v>
      </c>
      <c r="H85" s="62">
        <f t="shared" si="107"/>
        <v>40.573572768694717</v>
      </c>
      <c r="I85" s="62">
        <f t="shared" si="108"/>
        <v>0</v>
      </c>
      <c r="J85" s="67">
        <f>J89</f>
        <v>0</v>
      </c>
      <c r="K85" s="67">
        <f t="shared" ref="K85:AG85" si="116">K89</f>
        <v>0</v>
      </c>
      <c r="L85" s="67">
        <f t="shared" si="116"/>
        <v>0</v>
      </c>
      <c r="M85" s="67">
        <f t="shared" si="116"/>
        <v>0</v>
      </c>
      <c r="N85" s="67">
        <f t="shared" si="116"/>
        <v>116.94499999999999</v>
      </c>
      <c r="O85" s="67">
        <f t="shared" si="116"/>
        <v>0</v>
      </c>
      <c r="P85" s="67">
        <f t="shared" si="116"/>
        <v>15.1</v>
      </c>
      <c r="Q85" s="67">
        <f t="shared" si="116"/>
        <v>123.24</v>
      </c>
      <c r="R85" s="67">
        <f t="shared" si="116"/>
        <v>41.055</v>
      </c>
      <c r="S85" s="67">
        <f t="shared" si="116"/>
        <v>28.14</v>
      </c>
      <c r="T85" s="67">
        <f t="shared" si="116"/>
        <v>0</v>
      </c>
      <c r="U85" s="67">
        <f t="shared" si="116"/>
        <v>0</v>
      </c>
      <c r="V85" s="67">
        <f t="shared" si="116"/>
        <v>0</v>
      </c>
      <c r="W85" s="67">
        <f t="shared" si="116"/>
        <v>0</v>
      </c>
      <c r="X85" s="67">
        <f t="shared" si="116"/>
        <v>60</v>
      </c>
      <c r="Y85" s="67">
        <f t="shared" si="116"/>
        <v>0</v>
      </c>
      <c r="Z85" s="67">
        <f t="shared" si="116"/>
        <v>140</v>
      </c>
      <c r="AA85" s="67">
        <f t="shared" si="116"/>
        <v>0</v>
      </c>
      <c r="AB85" s="67">
        <f t="shared" si="116"/>
        <v>0</v>
      </c>
      <c r="AC85" s="67">
        <f t="shared" si="116"/>
        <v>0</v>
      </c>
      <c r="AD85" s="67">
        <f t="shared" si="116"/>
        <v>0</v>
      </c>
      <c r="AE85" s="67">
        <f t="shared" si="116"/>
        <v>0</v>
      </c>
      <c r="AF85" s="67">
        <f t="shared" si="116"/>
        <v>0</v>
      </c>
      <c r="AG85" s="67">
        <f t="shared" si="116"/>
        <v>0</v>
      </c>
      <c r="AH85" s="296"/>
      <c r="AI85" s="20"/>
    </row>
    <row r="86" spans="1:35" s="21" customFormat="1" ht="72.75" customHeight="1" x14ac:dyDescent="0.25">
      <c r="A86" s="127"/>
      <c r="B86" s="550" t="s">
        <v>142</v>
      </c>
      <c r="C86" s="125" t="s">
        <v>20</v>
      </c>
      <c r="D86" s="70">
        <f>D88+D89+D87</f>
        <v>373.1</v>
      </c>
      <c r="E86" s="58">
        <f t="shared" ref="E86:G86" si="117">E88+E89+E87</f>
        <v>233.1</v>
      </c>
      <c r="F86" s="58">
        <f t="shared" si="117"/>
        <v>116.95</v>
      </c>
      <c r="G86" s="58">
        <f t="shared" si="117"/>
        <v>151.38</v>
      </c>
      <c r="H86" s="58">
        <f t="shared" si="107"/>
        <v>40.573572768694717</v>
      </c>
      <c r="I86" s="58">
        <f t="shared" si="108"/>
        <v>64.942084942084946</v>
      </c>
      <c r="J86" s="58">
        <f t="shared" ref="J86:AG86" si="118">J88+J89+J87</f>
        <v>0</v>
      </c>
      <c r="K86" s="58">
        <f t="shared" si="118"/>
        <v>0</v>
      </c>
      <c r="L86" s="58">
        <f t="shared" si="118"/>
        <v>0</v>
      </c>
      <c r="M86" s="58">
        <f t="shared" si="118"/>
        <v>0</v>
      </c>
      <c r="N86" s="58">
        <f t="shared" si="118"/>
        <v>116.94499999999999</v>
      </c>
      <c r="O86" s="58">
        <f t="shared" si="118"/>
        <v>0</v>
      </c>
      <c r="P86" s="58">
        <f t="shared" si="118"/>
        <v>15.1</v>
      </c>
      <c r="Q86" s="58">
        <f t="shared" si="118"/>
        <v>123.24</v>
      </c>
      <c r="R86" s="58">
        <f t="shared" si="118"/>
        <v>41.055</v>
      </c>
      <c r="S86" s="58">
        <f t="shared" si="118"/>
        <v>28.14</v>
      </c>
      <c r="T86" s="58">
        <f t="shared" si="118"/>
        <v>0</v>
      </c>
      <c r="U86" s="70">
        <f t="shared" si="118"/>
        <v>0</v>
      </c>
      <c r="V86" s="58">
        <f t="shared" si="118"/>
        <v>0</v>
      </c>
      <c r="W86" s="58">
        <f t="shared" si="118"/>
        <v>0</v>
      </c>
      <c r="X86" s="58">
        <f t="shared" si="118"/>
        <v>60</v>
      </c>
      <c r="Y86" s="58">
        <f t="shared" si="118"/>
        <v>0</v>
      </c>
      <c r="Z86" s="58">
        <f t="shared" si="118"/>
        <v>140</v>
      </c>
      <c r="AA86" s="58">
        <f t="shared" si="118"/>
        <v>0</v>
      </c>
      <c r="AB86" s="58">
        <f t="shared" si="118"/>
        <v>0</v>
      </c>
      <c r="AC86" s="58">
        <f t="shared" si="118"/>
        <v>0</v>
      </c>
      <c r="AD86" s="58">
        <f t="shared" si="118"/>
        <v>0</v>
      </c>
      <c r="AE86" s="58">
        <f t="shared" si="118"/>
        <v>0</v>
      </c>
      <c r="AF86" s="58">
        <f t="shared" si="118"/>
        <v>0</v>
      </c>
      <c r="AG86" s="58">
        <f t="shared" si="118"/>
        <v>0</v>
      </c>
      <c r="AH86" s="296"/>
      <c r="AI86" s="23"/>
    </row>
    <row r="87" spans="1:35" s="21" customFormat="1" ht="45.75" hidden="1" customHeight="1" x14ac:dyDescent="0.25">
      <c r="A87" s="127"/>
      <c r="B87" s="551"/>
      <c r="C87" s="126" t="s">
        <v>52</v>
      </c>
      <c r="D87" s="74">
        <f>SUM(J87,L87,N87,P87,R87,T87,V87,X87,Z87,AB87,AD87,AF87)</f>
        <v>0</v>
      </c>
      <c r="E87" s="62">
        <f>J87</f>
        <v>0</v>
      </c>
      <c r="F87" s="62">
        <f>G87</f>
        <v>0</v>
      </c>
      <c r="G87" s="62">
        <f>SUM(K87,M87,O87,Q87,S87,U87,W87,Y87,AA87,AC87,AE87,AG87)</f>
        <v>0</v>
      </c>
      <c r="H87" s="62">
        <f t="shared" si="107"/>
        <v>0</v>
      </c>
      <c r="I87" s="62">
        <f t="shared" si="108"/>
        <v>0</v>
      </c>
      <c r="J87" s="62">
        <v>0</v>
      </c>
      <c r="K87" s="62">
        <v>0</v>
      </c>
      <c r="L87" s="62">
        <v>0</v>
      </c>
      <c r="M87" s="62">
        <v>0</v>
      </c>
      <c r="N87" s="62">
        <v>0</v>
      </c>
      <c r="O87" s="62">
        <v>0</v>
      </c>
      <c r="P87" s="62">
        <v>0</v>
      </c>
      <c r="Q87" s="62">
        <v>0</v>
      </c>
      <c r="R87" s="62">
        <v>0</v>
      </c>
      <c r="S87" s="62">
        <v>0</v>
      </c>
      <c r="T87" s="62">
        <v>0</v>
      </c>
      <c r="U87" s="74">
        <v>0</v>
      </c>
      <c r="V87" s="62">
        <v>0</v>
      </c>
      <c r="W87" s="62">
        <v>0</v>
      </c>
      <c r="X87" s="62">
        <v>0</v>
      </c>
      <c r="Y87" s="62">
        <v>0</v>
      </c>
      <c r="Z87" s="62">
        <v>0</v>
      </c>
      <c r="AA87" s="62">
        <v>0</v>
      </c>
      <c r="AB87" s="62">
        <v>0</v>
      </c>
      <c r="AC87" s="62">
        <v>0</v>
      </c>
      <c r="AD87" s="62">
        <v>0</v>
      </c>
      <c r="AE87" s="62">
        <v>0</v>
      </c>
      <c r="AF87" s="62">
        <v>0</v>
      </c>
      <c r="AG87" s="62">
        <v>0</v>
      </c>
      <c r="AH87" s="297"/>
      <c r="AI87" s="23"/>
    </row>
    <row r="88" spans="1:35" s="21" customFormat="1" ht="50.25" hidden="1" customHeight="1" x14ac:dyDescent="0.25">
      <c r="A88" s="127"/>
      <c r="B88" s="551"/>
      <c r="C88" s="126" t="s">
        <v>22</v>
      </c>
      <c r="D88" s="74">
        <f>SUM(J88,L88,N88,P88,R88,T88,V88,X88,Z88,AB88,AD88,AF88)</f>
        <v>0</v>
      </c>
      <c r="E88" s="62">
        <f>J88</f>
        <v>0</v>
      </c>
      <c r="F88" s="62">
        <f>G88</f>
        <v>0</v>
      </c>
      <c r="G88" s="62">
        <f>SUM(K88,M88,O88,Q88,S88,U88,W88,Y88,AA88,AC88,AE88,AG88)</f>
        <v>0</v>
      </c>
      <c r="H88" s="62">
        <f t="shared" si="107"/>
        <v>0</v>
      </c>
      <c r="I88" s="62">
        <f t="shared" si="108"/>
        <v>0</v>
      </c>
      <c r="J88" s="63">
        <v>0</v>
      </c>
      <c r="K88" s="63">
        <v>0</v>
      </c>
      <c r="L88" s="63">
        <v>0</v>
      </c>
      <c r="M88" s="63">
        <v>0</v>
      </c>
      <c r="N88" s="63">
        <v>0</v>
      </c>
      <c r="O88" s="63">
        <v>0</v>
      </c>
      <c r="P88" s="63">
        <v>0</v>
      </c>
      <c r="Q88" s="63">
        <v>0</v>
      </c>
      <c r="R88" s="63">
        <v>0</v>
      </c>
      <c r="S88" s="63">
        <v>0</v>
      </c>
      <c r="T88" s="63">
        <v>0</v>
      </c>
      <c r="U88" s="67">
        <v>0</v>
      </c>
      <c r="V88" s="63">
        <v>0</v>
      </c>
      <c r="W88" s="63">
        <v>0</v>
      </c>
      <c r="X88" s="63">
        <v>0</v>
      </c>
      <c r="Y88" s="63">
        <v>0</v>
      </c>
      <c r="Z88" s="63">
        <v>0</v>
      </c>
      <c r="AA88" s="63">
        <v>0</v>
      </c>
      <c r="AB88" s="63">
        <v>0</v>
      </c>
      <c r="AC88" s="63">
        <v>0</v>
      </c>
      <c r="AD88" s="63">
        <v>0</v>
      </c>
      <c r="AE88" s="63">
        <v>0</v>
      </c>
      <c r="AF88" s="63">
        <v>0</v>
      </c>
      <c r="AG88" s="63">
        <v>0</v>
      </c>
      <c r="AH88" s="60"/>
      <c r="AI88" s="23"/>
    </row>
    <row r="89" spans="1:35" s="22" customFormat="1" ht="81.75" customHeight="1" x14ac:dyDescent="0.25">
      <c r="A89" s="127"/>
      <c r="B89" s="595"/>
      <c r="C89" s="126" t="s">
        <v>21</v>
      </c>
      <c r="D89" s="74">
        <f>SUM(J89,L89,N89,P89,R89,T89,V89,X89,Z89,AB89,AD89,AF89)</f>
        <v>373.1</v>
      </c>
      <c r="E89" s="62">
        <f>J89+L89+N89+P89+R89+T89+V89+X89</f>
        <v>233.1</v>
      </c>
      <c r="F89" s="62">
        <v>116.95</v>
      </c>
      <c r="G89" s="62">
        <f>SUM(K89,M89,O89,Q89,S89,U89,W89,Y89,AA89,AC89,AE89,AG89)</f>
        <v>151.38</v>
      </c>
      <c r="H89" s="62">
        <f t="shared" si="107"/>
        <v>40.573572768694717</v>
      </c>
      <c r="I89" s="62">
        <f t="shared" si="108"/>
        <v>64.942084942084946</v>
      </c>
      <c r="J89" s="67">
        <v>0</v>
      </c>
      <c r="K89" s="67">
        <v>0</v>
      </c>
      <c r="L89" s="67">
        <v>0</v>
      </c>
      <c r="M89" s="67">
        <v>0</v>
      </c>
      <c r="N89" s="67">
        <v>116.94499999999999</v>
      </c>
      <c r="O89" s="67">
        <v>0</v>
      </c>
      <c r="P89" s="67">
        <v>15.1</v>
      </c>
      <c r="Q89" s="67">
        <v>123.24</v>
      </c>
      <c r="R89" s="67">
        <v>41.055</v>
      </c>
      <c r="S89" s="67">
        <v>28.14</v>
      </c>
      <c r="T89" s="67">
        <v>0</v>
      </c>
      <c r="U89" s="67">
        <v>0</v>
      </c>
      <c r="V89" s="67">
        <v>0</v>
      </c>
      <c r="W89" s="67">
        <v>0</v>
      </c>
      <c r="X89" s="67">
        <v>60</v>
      </c>
      <c r="Y89" s="67">
        <v>0</v>
      </c>
      <c r="Z89" s="67">
        <v>140</v>
      </c>
      <c r="AA89" s="67">
        <v>0</v>
      </c>
      <c r="AB89" s="67">
        <v>0</v>
      </c>
      <c r="AC89" s="67">
        <v>0</v>
      </c>
      <c r="AD89" s="67">
        <v>0</v>
      </c>
      <c r="AE89" s="67">
        <v>0</v>
      </c>
      <c r="AF89" s="67">
        <v>0</v>
      </c>
      <c r="AG89" s="67">
        <v>0</v>
      </c>
      <c r="AH89" s="300" t="s">
        <v>395</v>
      </c>
      <c r="AI89" s="20"/>
    </row>
    <row r="90" spans="1:35" s="21" customFormat="1" ht="69.75" customHeight="1" x14ac:dyDescent="0.25">
      <c r="A90" s="127"/>
      <c r="B90" s="550" t="s">
        <v>143</v>
      </c>
      <c r="C90" s="125" t="s">
        <v>20</v>
      </c>
      <c r="D90" s="70">
        <f>D92+D93+D91</f>
        <v>74</v>
      </c>
      <c r="E90" s="58">
        <f>E92+E93+E91</f>
        <v>74</v>
      </c>
      <c r="F90" s="58">
        <f>F92+F93+F91</f>
        <v>74</v>
      </c>
      <c r="G90" s="58">
        <f>G92+G93+G91</f>
        <v>74</v>
      </c>
      <c r="H90" s="58">
        <f t="shared" si="107"/>
        <v>100</v>
      </c>
      <c r="I90" s="58">
        <f t="shared" si="108"/>
        <v>100</v>
      </c>
      <c r="J90" s="58">
        <f t="shared" ref="J90:AG90" si="119">J92+J93+J91</f>
        <v>0</v>
      </c>
      <c r="K90" s="58">
        <f t="shared" si="119"/>
        <v>0</v>
      </c>
      <c r="L90" s="58">
        <f t="shared" si="119"/>
        <v>0</v>
      </c>
      <c r="M90" s="58">
        <f t="shared" si="119"/>
        <v>0</v>
      </c>
      <c r="N90" s="58">
        <f t="shared" si="119"/>
        <v>0</v>
      </c>
      <c r="O90" s="58">
        <f t="shared" si="119"/>
        <v>0</v>
      </c>
      <c r="P90" s="58">
        <f t="shared" si="119"/>
        <v>0</v>
      </c>
      <c r="Q90" s="58">
        <f t="shared" si="119"/>
        <v>0</v>
      </c>
      <c r="R90" s="58">
        <f t="shared" si="119"/>
        <v>0</v>
      </c>
      <c r="S90" s="58">
        <f t="shared" si="119"/>
        <v>0</v>
      </c>
      <c r="T90" s="58">
        <f t="shared" si="119"/>
        <v>0</v>
      </c>
      <c r="U90" s="70">
        <f t="shared" si="119"/>
        <v>0</v>
      </c>
      <c r="V90" s="58">
        <f t="shared" si="119"/>
        <v>74</v>
      </c>
      <c r="W90" s="58">
        <f t="shared" si="119"/>
        <v>0</v>
      </c>
      <c r="X90" s="58">
        <f t="shared" si="119"/>
        <v>0</v>
      </c>
      <c r="Y90" s="58">
        <f t="shared" si="119"/>
        <v>74</v>
      </c>
      <c r="Z90" s="58">
        <f t="shared" si="119"/>
        <v>0</v>
      </c>
      <c r="AA90" s="58">
        <f t="shared" si="119"/>
        <v>0</v>
      </c>
      <c r="AB90" s="58">
        <f t="shared" si="119"/>
        <v>0</v>
      </c>
      <c r="AC90" s="58">
        <f t="shared" si="119"/>
        <v>0</v>
      </c>
      <c r="AD90" s="58">
        <f t="shared" si="119"/>
        <v>0</v>
      </c>
      <c r="AE90" s="58">
        <f t="shared" si="119"/>
        <v>0</v>
      </c>
      <c r="AF90" s="58">
        <f t="shared" si="119"/>
        <v>0</v>
      </c>
      <c r="AG90" s="58">
        <f t="shared" si="119"/>
        <v>0</v>
      </c>
      <c r="AH90" s="60"/>
      <c r="AI90" s="23"/>
    </row>
    <row r="91" spans="1:35" s="21" customFormat="1" ht="27" hidden="1" customHeight="1" x14ac:dyDescent="0.25">
      <c r="A91" s="127"/>
      <c r="B91" s="551"/>
      <c r="C91" s="126" t="s">
        <v>52</v>
      </c>
      <c r="D91" s="74">
        <f>SUM(J91,L91,N91,P91,R91,T91,V91,X91,Z91,AB91,AD91,AF91)</f>
        <v>0</v>
      </c>
      <c r="E91" s="62">
        <f>J91</f>
        <v>0</v>
      </c>
      <c r="F91" s="62">
        <f>G91</f>
        <v>0</v>
      </c>
      <c r="G91" s="62">
        <f>SUM(K91,M91,O91,Q91,S91,U91,W91,Y91,AA91,AC91,AE91,AG91)</f>
        <v>0</v>
      </c>
      <c r="H91" s="62">
        <f t="shared" si="107"/>
        <v>0</v>
      </c>
      <c r="I91" s="62">
        <f t="shared" si="108"/>
        <v>0</v>
      </c>
      <c r="J91" s="62">
        <v>0</v>
      </c>
      <c r="K91" s="62">
        <v>0</v>
      </c>
      <c r="L91" s="62">
        <v>0</v>
      </c>
      <c r="M91" s="62">
        <v>0</v>
      </c>
      <c r="N91" s="62">
        <v>0</v>
      </c>
      <c r="O91" s="62">
        <v>0</v>
      </c>
      <c r="P91" s="62">
        <v>0</v>
      </c>
      <c r="Q91" s="62">
        <v>0</v>
      </c>
      <c r="R91" s="62">
        <v>0</v>
      </c>
      <c r="S91" s="62">
        <v>0</v>
      </c>
      <c r="T91" s="62">
        <v>0</v>
      </c>
      <c r="U91" s="74">
        <v>0</v>
      </c>
      <c r="V91" s="62">
        <v>0</v>
      </c>
      <c r="W91" s="62">
        <v>0</v>
      </c>
      <c r="X91" s="62">
        <v>0</v>
      </c>
      <c r="Y91" s="62">
        <v>0</v>
      </c>
      <c r="Z91" s="62">
        <v>0</v>
      </c>
      <c r="AA91" s="62">
        <v>0</v>
      </c>
      <c r="AB91" s="62">
        <v>0</v>
      </c>
      <c r="AC91" s="62">
        <v>0</v>
      </c>
      <c r="AD91" s="62">
        <v>0</v>
      </c>
      <c r="AE91" s="62">
        <v>0</v>
      </c>
      <c r="AF91" s="62">
        <v>0</v>
      </c>
      <c r="AG91" s="62">
        <v>0</v>
      </c>
      <c r="AH91" s="60"/>
      <c r="AI91" s="23"/>
    </row>
    <row r="92" spans="1:35" s="21" customFormat="1" ht="120.75" customHeight="1" x14ac:dyDescent="0.25">
      <c r="A92" s="127"/>
      <c r="B92" s="551"/>
      <c r="C92" s="126" t="s">
        <v>22</v>
      </c>
      <c r="D92" s="74">
        <f>SUM(J92,L92,N92,P92,R92,T92,V92,X92,Z92,AB92,AD92,AF92)</f>
        <v>74</v>
      </c>
      <c r="E92" s="62">
        <f>J92+L92+N92+P92+R92+T92+V92+X92</f>
        <v>74</v>
      </c>
      <c r="F92" s="62">
        <f>G92</f>
        <v>74</v>
      </c>
      <c r="G92" s="62">
        <f>SUM(K92,M92,O92,Q92,S92,U92,W92,Y92,AA92,AC92,AE92,AG92)</f>
        <v>74</v>
      </c>
      <c r="H92" s="62">
        <f t="shared" si="107"/>
        <v>100</v>
      </c>
      <c r="I92" s="62">
        <f t="shared" si="108"/>
        <v>100</v>
      </c>
      <c r="J92" s="63">
        <v>0</v>
      </c>
      <c r="K92" s="63">
        <v>0</v>
      </c>
      <c r="L92" s="63">
        <v>0</v>
      </c>
      <c r="M92" s="63">
        <v>0</v>
      </c>
      <c r="N92" s="63">
        <v>0</v>
      </c>
      <c r="O92" s="63">
        <v>0</v>
      </c>
      <c r="P92" s="63">
        <v>0</v>
      </c>
      <c r="Q92" s="63">
        <v>0</v>
      </c>
      <c r="R92" s="63">
        <v>0</v>
      </c>
      <c r="S92" s="63">
        <v>0</v>
      </c>
      <c r="T92" s="63">
        <v>0</v>
      </c>
      <c r="U92" s="67">
        <v>0</v>
      </c>
      <c r="V92" s="63">
        <v>74</v>
      </c>
      <c r="W92" s="63">
        <v>0</v>
      </c>
      <c r="X92" s="63">
        <v>0</v>
      </c>
      <c r="Y92" s="63">
        <v>74</v>
      </c>
      <c r="Z92" s="63">
        <v>0</v>
      </c>
      <c r="AA92" s="63">
        <v>0</v>
      </c>
      <c r="AB92" s="63">
        <v>0</v>
      </c>
      <c r="AC92" s="63">
        <v>0</v>
      </c>
      <c r="AD92" s="63">
        <v>0</v>
      </c>
      <c r="AE92" s="63">
        <v>0</v>
      </c>
      <c r="AF92" s="63">
        <v>0</v>
      </c>
      <c r="AG92" s="63">
        <v>0</v>
      </c>
      <c r="AH92" s="425"/>
      <c r="AI92" s="23"/>
    </row>
    <row r="93" spans="1:35" s="22" customFormat="1" ht="37.5" hidden="1" customHeight="1" x14ac:dyDescent="0.25">
      <c r="A93" s="128"/>
      <c r="B93" s="595"/>
      <c r="C93" s="126" t="s">
        <v>21</v>
      </c>
      <c r="D93" s="74">
        <f>SUM(J93,L93,N93,P93,R93,T93,V93,X93,Z93,AB93,AD93,AF93)</f>
        <v>0</v>
      </c>
      <c r="E93" s="62">
        <f>J93</f>
        <v>0</v>
      </c>
      <c r="F93" s="62">
        <f>G93</f>
        <v>0</v>
      </c>
      <c r="G93" s="62">
        <f>SUM(K93,M93,O93,Q93,S93,U93,W93,Y93,AA93,AC93,AE93,AG93)</f>
        <v>0</v>
      </c>
      <c r="H93" s="62">
        <f t="shared" si="107"/>
        <v>0</v>
      </c>
      <c r="I93" s="62">
        <f t="shared" si="108"/>
        <v>0</v>
      </c>
      <c r="J93" s="67">
        <v>0</v>
      </c>
      <c r="K93" s="67">
        <v>0</v>
      </c>
      <c r="L93" s="67">
        <v>0</v>
      </c>
      <c r="M93" s="67">
        <v>0</v>
      </c>
      <c r="N93" s="67">
        <v>0</v>
      </c>
      <c r="O93" s="67">
        <v>0</v>
      </c>
      <c r="P93" s="67">
        <v>0</v>
      </c>
      <c r="Q93" s="67">
        <v>0</v>
      </c>
      <c r="R93" s="67">
        <v>0</v>
      </c>
      <c r="S93" s="67">
        <v>0</v>
      </c>
      <c r="T93" s="67">
        <v>0</v>
      </c>
      <c r="U93" s="67">
        <v>0</v>
      </c>
      <c r="V93" s="67">
        <v>0</v>
      </c>
      <c r="W93" s="67">
        <v>0</v>
      </c>
      <c r="X93" s="67">
        <v>0</v>
      </c>
      <c r="Y93" s="67">
        <v>0</v>
      </c>
      <c r="Z93" s="67">
        <v>0</v>
      </c>
      <c r="AA93" s="67">
        <v>0</v>
      </c>
      <c r="AB93" s="67">
        <v>0</v>
      </c>
      <c r="AC93" s="67">
        <v>0</v>
      </c>
      <c r="AD93" s="67">
        <v>0</v>
      </c>
      <c r="AE93" s="67">
        <v>0</v>
      </c>
      <c r="AF93" s="67">
        <v>0</v>
      </c>
      <c r="AG93" s="67">
        <v>0</v>
      </c>
      <c r="AH93" s="64"/>
      <c r="AI93" s="20"/>
    </row>
    <row r="94" spans="1:35" s="28" customFormat="1" ht="21" customHeight="1" x14ac:dyDescent="0.25">
      <c r="A94" s="129"/>
      <c r="B94" s="596" t="s">
        <v>32</v>
      </c>
      <c r="C94" s="597"/>
      <c r="D94" s="597"/>
      <c r="E94" s="597"/>
      <c r="F94" s="597"/>
      <c r="G94" s="597"/>
      <c r="H94" s="597"/>
      <c r="I94" s="597"/>
      <c r="J94" s="597"/>
      <c r="K94" s="597"/>
      <c r="L94" s="597"/>
      <c r="M94" s="597"/>
      <c r="N94" s="597"/>
      <c r="O94" s="597"/>
      <c r="P94" s="597"/>
      <c r="Q94" s="597"/>
      <c r="R94" s="597"/>
      <c r="S94" s="597"/>
      <c r="T94" s="597"/>
      <c r="U94" s="597"/>
      <c r="V94" s="597"/>
      <c r="W94" s="597"/>
      <c r="X94" s="597"/>
      <c r="Y94" s="597"/>
      <c r="Z94" s="597"/>
      <c r="AA94" s="597"/>
      <c r="AB94" s="597"/>
      <c r="AC94" s="597"/>
      <c r="AD94" s="597"/>
      <c r="AE94" s="597"/>
      <c r="AF94" s="597"/>
      <c r="AG94" s="598"/>
      <c r="AH94" s="43"/>
      <c r="AI94" s="27"/>
    </row>
    <row r="95" spans="1:35" s="30" customFormat="1" ht="27" customHeight="1" x14ac:dyDescent="0.25">
      <c r="A95" s="569" t="s">
        <v>144</v>
      </c>
      <c r="B95" s="533" t="s">
        <v>34</v>
      </c>
      <c r="C95" s="123" t="s">
        <v>20</v>
      </c>
      <c r="D95" s="70">
        <f>D96</f>
        <v>21816.600000000002</v>
      </c>
      <c r="E95" s="70">
        <f t="shared" ref="E95:G95" si="120">E96</f>
        <v>6086.3950000000004</v>
      </c>
      <c r="F95" s="70">
        <f t="shared" si="120"/>
        <v>11839.338000000002</v>
      </c>
      <c r="G95" s="70">
        <f t="shared" si="120"/>
        <v>11839.338000000002</v>
      </c>
      <c r="H95" s="70">
        <f t="shared" ref="H95:H100" si="121">IFERROR(G95/D95*100,0)</f>
        <v>54.267566898600151</v>
      </c>
      <c r="I95" s="70">
        <f t="shared" ref="I95:I100" si="122">IFERROR(G95/E95*100,0)</f>
        <v>194.52135459496139</v>
      </c>
      <c r="J95" s="71">
        <f t="shared" ref="J95:AG95" si="123">SUM(J96:J96)</f>
        <v>2916.2530000000002</v>
      </c>
      <c r="K95" s="71">
        <f t="shared" si="123"/>
        <v>1475.0439999999999</v>
      </c>
      <c r="L95" s="71">
        <f t="shared" si="123"/>
        <v>1881.5260000000001</v>
      </c>
      <c r="M95" s="71">
        <f t="shared" si="123"/>
        <v>1862.3879999999999</v>
      </c>
      <c r="N95" s="71">
        <f t="shared" si="123"/>
        <v>1288.616</v>
      </c>
      <c r="O95" s="71">
        <f t="shared" si="123"/>
        <v>1366.248</v>
      </c>
      <c r="P95" s="71">
        <f t="shared" si="123"/>
        <v>2319.4009999999998</v>
      </c>
      <c r="Q95" s="71">
        <f t="shared" si="123"/>
        <v>1388.0309999999999</v>
      </c>
      <c r="R95" s="71">
        <f t="shared" si="123"/>
        <v>1762.9559999999999</v>
      </c>
      <c r="S95" s="71">
        <f t="shared" si="123"/>
        <v>1402.433</v>
      </c>
      <c r="T95" s="71">
        <f t="shared" si="123"/>
        <v>1277.116</v>
      </c>
      <c r="U95" s="71">
        <f t="shared" si="123"/>
        <v>1305.3130000000001</v>
      </c>
      <c r="V95" s="71">
        <f t="shared" si="123"/>
        <v>2302.4009999999998</v>
      </c>
      <c r="W95" s="71">
        <f t="shared" si="123"/>
        <v>1538.78</v>
      </c>
      <c r="X95" s="71">
        <f t="shared" si="123"/>
        <v>1713.3559999999998</v>
      </c>
      <c r="Y95" s="71">
        <f t="shared" si="123"/>
        <v>1501.1010000000001</v>
      </c>
      <c r="Z95" s="71">
        <f t="shared" si="123"/>
        <v>1305.5160000000001</v>
      </c>
      <c r="AA95" s="71">
        <f t="shared" si="123"/>
        <v>0</v>
      </c>
      <c r="AB95" s="71">
        <f t="shared" si="123"/>
        <v>1875.759</v>
      </c>
      <c r="AC95" s="71">
        <f t="shared" si="123"/>
        <v>0</v>
      </c>
      <c r="AD95" s="71">
        <f t="shared" si="123"/>
        <v>1587.0360000000001</v>
      </c>
      <c r="AE95" s="71">
        <f t="shared" si="123"/>
        <v>0</v>
      </c>
      <c r="AF95" s="71">
        <f t="shared" si="123"/>
        <v>1586.6640000000002</v>
      </c>
      <c r="AG95" s="71">
        <f t="shared" si="123"/>
        <v>0</v>
      </c>
      <c r="AH95" s="72"/>
      <c r="AI95" s="29"/>
    </row>
    <row r="96" spans="1:35" s="31" customFormat="1" ht="72" customHeight="1" x14ac:dyDescent="0.25">
      <c r="A96" s="570"/>
      <c r="B96" s="535"/>
      <c r="C96" s="124" t="s">
        <v>21</v>
      </c>
      <c r="D96" s="74">
        <f>SUM(J96,L96,N96,P96,R96,T96,V96,X96,Z96,AB96,AD96,AF96)</f>
        <v>21816.600000000002</v>
      </c>
      <c r="E96" s="74">
        <f>J96+L96+N96</f>
        <v>6086.3950000000004</v>
      </c>
      <c r="F96" s="74">
        <f>G96</f>
        <v>11839.338000000002</v>
      </c>
      <c r="G96" s="74">
        <f>SUM(K96,M96,O96,Q96,S96,U96,W96,Y96,AA96,AC96,AE96,AG96)</f>
        <v>11839.338000000002</v>
      </c>
      <c r="H96" s="74">
        <f t="shared" si="121"/>
        <v>54.267566898600151</v>
      </c>
      <c r="I96" s="74">
        <f t="shared" si="122"/>
        <v>194.52135459496139</v>
      </c>
      <c r="J96" s="67">
        <f>J98+J100</f>
        <v>2916.2530000000002</v>
      </c>
      <c r="K96" s="67">
        <f t="shared" ref="K96:AG96" si="124">K98+K100</f>
        <v>1475.0439999999999</v>
      </c>
      <c r="L96" s="67">
        <f t="shared" si="124"/>
        <v>1881.5260000000001</v>
      </c>
      <c r="M96" s="67">
        <f t="shared" si="124"/>
        <v>1862.3879999999999</v>
      </c>
      <c r="N96" s="67">
        <f t="shared" si="124"/>
        <v>1288.616</v>
      </c>
      <c r="O96" s="67">
        <f t="shared" si="124"/>
        <v>1366.248</v>
      </c>
      <c r="P96" s="67">
        <f t="shared" si="124"/>
        <v>2319.4009999999998</v>
      </c>
      <c r="Q96" s="67">
        <f t="shared" si="124"/>
        <v>1388.0309999999999</v>
      </c>
      <c r="R96" s="67">
        <f t="shared" si="124"/>
        <v>1762.9559999999999</v>
      </c>
      <c r="S96" s="67">
        <f t="shared" si="124"/>
        <v>1402.433</v>
      </c>
      <c r="T96" s="67">
        <f t="shared" si="124"/>
        <v>1277.116</v>
      </c>
      <c r="U96" s="67">
        <f t="shared" si="124"/>
        <v>1305.3130000000001</v>
      </c>
      <c r="V96" s="67">
        <f t="shared" si="124"/>
        <v>2302.4009999999998</v>
      </c>
      <c r="W96" s="67">
        <f t="shared" si="124"/>
        <v>1538.78</v>
      </c>
      <c r="X96" s="67">
        <f t="shared" si="124"/>
        <v>1713.3559999999998</v>
      </c>
      <c r="Y96" s="67">
        <f t="shared" si="124"/>
        <v>1501.1010000000001</v>
      </c>
      <c r="Z96" s="67">
        <f t="shared" si="124"/>
        <v>1305.5160000000001</v>
      </c>
      <c r="AA96" s="67">
        <f t="shared" si="124"/>
        <v>0</v>
      </c>
      <c r="AB96" s="67">
        <f t="shared" si="124"/>
        <v>1875.759</v>
      </c>
      <c r="AC96" s="67">
        <f t="shared" si="124"/>
        <v>0</v>
      </c>
      <c r="AD96" s="67">
        <f t="shared" si="124"/>
        <v>1587.0360000000001</v>
      </c>
      <c r="AE96" s="67">
        <f t="shared" si="124"/>
        <v>0</v>
      </c>
      <c r="AF96" s="67">
        <f t="shared" si="124"/>
        <v>1586.6640000000002</v>
      </c>
      <c r="AG96" s="67">
        <f t="shared" si="124"/>
        <v>0</v>
      </c>
      <c r="AH96" s="75"/>
      <c r="AI96" s="29"/>
    </row>
    <row r="97" spans="1:34" s="10" customFormat="1" ht="30.75" customHeight="1" x14ac:dyDescent="0.25">
      <c r="A97" s="569"/>
      <c r="B97" s="550" t="s">
        <v>145</v>
      </c>
      <c r="C97" s="123" t="s">
        <v>20</v>
      </c>
      <c r="D97" s="70">
        <f>D98</f>
        <v>14313.699999999999</v>
      </c>
      <c r="E97" s="70">
        <f t="shared" ref="E97:G97" si="125">E98</f>
        <v>3973.5110000000004</v>
      </c>
      <c r="F97" s="70">
        <f t="shared" si="125"/>
        <v>7311.0349999999999</v>
      </c>
      <c r="G97" s="70">
        <f t="shared" si="125"/>
        <v>7311.0349999999999</v>
      </c>
      <c r="H97" s="70">
        <f t="shared" si="121"/>
        <v>51.077184794986621</v>
      </c>
      <c r="I97" s="70">
        <f t="shared" si="122"/>
        <v>183.99433146152106</v>
      </c>
      <c r="J97" s="71">
        <f t="shared" ref="J97:AG97" si="126">SUM(J98:J98)</f>
        <v>1883.9490000000001</v>
      </c>
      <c r="K97" s="71">
        <f t="shared" si="126"/>
        <v>950.77800000000002</v>
      </c>
      <c r="L97" s="71">
        <f t="shared" si="126"/>
        <v>1239.9770000000001</v>
      </c>
      <c r="M97" s="71">
        <f t="shared" si="126"/>
        <v>1210.4349999999999</v>
      </c>
      <c r="N97" s="71">
        <f t="shared" si="126"/>
        <v>849.58500000000004</v>
      </c>
      <c r="O97" s="71">
        <f t="shared" si="126"/>
        <v>903.56600000000003</v>
      </c>
      <c r="P97" s="71">
        <f t="shared" si="126"/>
        <v>1540.096</v>
      </c>
      <c r="Q97" s="71">
        <f t="shared" si="126"/>
        <v>888.25900000000001</v>
      </c>
      <c r="R97" s="71">
        <f t="shared" si="126"/>
        <v>1128.2829999999999</v>
      </c>
      <c r="S97" s="71">
        <f t="shared" si="126"/>
        <v>846.55100000000004</v>
      </c>
      <c r="T97" s="71">
        <f t="shared" si="126"/>
        <v>838.08500000000004</v>
      </c>
      <c r="U97" s="71">
        <f t="shared" si="126"/>
        <v>954.60500000000002</v>
      </c>
      <c r="V97" s="71">
        <f t="shared" si="126"/>
        <v>1523.096</v>
      </c>
      <c r="W97" s="71">
        <f t="shared" si="126"/>
        <v>830.48699999999997</v>
      </c>
      <c r="X97" s="71">
        <f t="shared" si="126"/>
        <v>1128.2829999999999</v>
      </c>
      <c r="Y97" s="71">
        <f t="shared" si="126"/>
        <v>726.35400000000004</v>
      </c>
      <c r="Z97" s="71">
        <f t="shared" si="126"/>
        <v>838.08500000000004</v>
      </c>
      <c r="AA97" s="71">
        <f t="shared" si="126"/>
        <v>0</v>
      </c>
      <c r="AB97" s="71">
        <f t="shared" si="126"/>
        <v>1236.5909999999999</v>
      </c>
      <c r="AC97" s="71">
        <f t="shared" si="126"/>
        <v>0</v>
      </c>
      <c r="AD97" s="71">
        <f t="shared" si="126"/>
        <v>1045.684</v>
      </c>
      <c r="AE97" s="71">
        <f t="shared" si="126"/>
        <v>0</v>
      </c>
      <c r="AF97" s="71">
        <f t="shared" si="126"/>
        <v>1061.9860000000001</v>
      </c>
      <c r="AG97" s="71">
        <f t="shared" si="126"/>
        <v>0</v>
      </c>
      <c r="AH97" s="72"/>
    </row>
    <row r="98" spans="1:34" s="10" customFormat="1" ht="41.25" customHeight="1" x14ac:dyDescent="0.25">
      <c r="A98" s="570"/>
      <c r="B98" s="551"/>
      <c r="C98" s="124" t="s">
        <v>21</v>
      </c>
      <c r="D98" s="74">
        <f>SUM(J98,L98,N98,P98,R98,T98,V98,X98,Z98,AB98,AD98,AF98)</f>
        <v>14313.699999999999</v>
      </c>
      <c r="E98" s="74">
        <f>J98+L98+N98</f>
        <v>3973.5110000000004</v>
      </c>
      <c r="F98" s="74">
        <f>G98</f>
        <v>7311.0349999999999</v>
      </c>
      <c r="G98" s="74">
        <f>SUM(K98,M98,O98,Q98,S98,U98,W98,Y98,AA98,AC98,AE98,AG98)</f>
        <v>7311.0349999999999</v>
      </c>
      <c r="H98" s="74">
        <f t="shared" si="121"/>
        <v>51.077184794986621</v>
      </c>
      <c r="I98" s="74">
        <f t="shared" si="122"/>
        <v>183.99433146152106</v>
      </c>
      <c r="J98" s="67">
        <v>1883.9490000000001</v>
      </c>
      <c r="K98" s="67">
        <v>950.77800000000002</v>
      </c>
      <c r="L98" s="67">
        <v>1239.9770000000001</v>
      </c>
      <c r="M98" s="67">
        <v>1210.4349999999999</v>
      </c>
      <c r="N98" s="67">
        <v>849.58500000000004</v>
      </c>
      <c r="O98" s="67">
        <v>903.56600000000003</v>
      </c>
      <c r="P98" s="67">
        <v>1540.096</v>
      </c>
      <c r="Q98" s="67">
        <v>888.25900000000001</v>
      </c>
      <c r="R98" s="67">
        <v>1128.2829999999999</v>
      </c>
      <c r="S98" s="67">
        <v>846.55100000000004</v>
      </c>
      <c r="T98" s="67">
        <v>838.08500000000004</v>
      </c>
      <c r="U98" s="67">
        <v>954.60500000000002</v>
      </c>
      <c r="V98" s="67">
        <v>1523.096</v>
      </c>
      <c r="W98" s="67">
        <v>830.48699999999997</v>
      </c>
      <c r="X98" s="67">
        <v>1128.2829999999999</v>
      </c>
      <c r="Y98" s="67">
        <v>726.35400000000004</v>
      </c>
      <c r="Z98" s="67">
        <v>838.08500000000004</v>
      </c>
      <c r="AA98" s="67">
        <v>0</v>
      </c>
      <c r="AB98" s="67">
        <v>1236.5909999999999</v>
      </c>
      <c r="AC98" s="67">
        <v>0</v>
      </c>
      <c r="AD98" s="67">
        <v>1045.684</v>
      </c>
      <c r="AE98" s="67">
        <v>0</v>
      </c>
      <c r="AF98" s="67">
        <v>1061.9860000000001</v>
      </c>
      <c r="AG98" s="67">
        <v>0</v>
      </c>
      <c r="AH98" s="75"/>
    </row>
    <row r="99" spans="1:34" s="10" customFormat="1" ht="23.25" customHeight="1" x14ac:dyDescent="0.25">
      <c r="A99" s="569"/>
      <c r="B99" s="552" t="s">
        <v>146</v>
      </c>
      <c r="C99" s="123" t="s">
        <v>20</v>
      </c>
      <c r="D99" s="70">
        <f>D100</f>
        <v>7502.9</v>
      </c>
      <c r="E99" s="70">
        <f t="shared" ref="E99:G99" si="127">E100</f>
        <v>2112.884</v>
      </c>
      <c r="F99" s="70">
        <f t="shared" si="127"/>
        <v>4528.3030000000008</v>
      </c>
      <c r="G99" s="70">
        <f t="shared" si="127"/>
        <v>4528.3030000000008</v>
      </c>
      <c r="H99" s="70">
        <f t="shared" si="121"/>
        <v>60.354036439243508</v>
      </c>
      <c r="I99" s="70">
        <f t="shared" si="122"/>
        <v>214.3185806698333</v>
      </c>
      <c r="J99" s="71">
        <f t="shared" ref="J99:AG99" si="128">SUM(J100:J100)</f>
        <v>1032.3040000000001</v>
      </c>
      <c r="K99" s="71">
        <f t="shared" si="128"/>
        <v>524.26599999999996</v>
      </c>
      <c r="L99" s="71">
        <f t="shared" si="128"/>
        <v>641.54899999999998</v>
      </c>
      <c r="M99" s="71">
        <f t="shared" si="128"/>
        <v>651.95299999999997</v>
      </c>
      <c r="N99" s="71">
        <f t="shared" si="128"/>
        <v>439.03100000000001</v>
      </c>
      <c r="O99" s="71">
        <f t="shared" si="128"/>
        <v>462.68200000000002</v>
      </c>
      <c r="P99" s="71">
        <f t="shared" si="128"/>
        <v>779.30499999999995</v>
      </c>
      <c r="Q99" s="71">
        <f t="shared" si="128"/>
        <v>499.77199999999999</v>
      </c>
      <c r="R99" s="71">
        <f t="shared" si="128"/>
        <v>634.673</v>
      </c>
      <c r="S99" s="71">
        <f t="shared" si="128"/>
        <v>555.88199999999995</v>
      </c>
      <c r="T99" s="71">
        <f t="shared" si="128"/>
        <v>439.03100000000001</v>
      </c>
      <c r="U99" s="71">
        <f t="shared" si="128"/>
        <v>350.70800000000003</v>
      </c>
      <c r="V99" s="71">
        <f t="shared" si="128"/>
        <v>779.30499999999995</v>
      </c>
      <c r="W99" s="71">
        <f t="shared" si="128"/>
        <v>708.29300000000001</v>
      </c>
      <c r="X99" s="71">
        <f t="shared" si="128"/>
        <v>585.07299999999998</v>
      </c>
      <c r="Y99" s="71">
        <f t="shared" si="128"/>
        <v>774.74699999999996</v>
      </c>
      <c r="Z99" s="71">
        <f t="shared" si="128"/>
        <v>467.43099999999998</v>
      </c>
      <c r="AA99" s="71">
        <f t="shared" si="128"/>
        <v>0</v>
      </c>
      <c r="AB99" s="71">
        <f t="shared" si="128"/>
        <v>639.16800000000001</v>
      </c>
      <c r="AC99" s="71">
        <f t="shared" si="128"/>
        <v>0</v>
      </c>
      <c r="AD99" s="71">
        <f t="shared" si="128"/>
        <v>541.35199999999998</v>
      </c>
      <c r="AE99" s="71">
        <f t="shared" si="128"/>
        <v>0</v>
      </c>
      <c r="AF99" s="71">
        <f t="shared" si="128"/>
        <v>524.678</v>
      </c>
      <c r="AG99" s="71">
        <f t="shared" si="128"/>
        <v>0</v>
      </c>
      <c r="AH99" s="72"/>
    </row>
    <row r="100" spans="1:34" s="10" customFormat="1" ht="40.5" customHeight="1" x14ac:dyDescent="0.25">
      <c r="A100" s="570"/>
      <c r="B100" s="552"/>
      <c r="C100" s="124" t="s">
        <v>21</v>
      </c>
      <c r="D100" s="74">
        <f>SUM(J100,L100,N100,P100,R100,T100,V100,X100,Z100,AB100,AD100,AF100)</f>
        <v>7502.9</v>
      </c>
      <c r="E100" s="74">
        <f>J100+L100+N100</f>
        <v>2112.884</v>
      </c>
      <c r="F100" s="74">
        <f>G100</f>
        <v>4528.3030000000008</v>
      </c>
      <c r="G100" s="74">
        <f>SUM(K100,M100,O100,Q100,S100,U100,W100,Y100,AA100,AC100,AE100,AG100)</f>
        <v>4528.3030000000008</v>
      </c>
      <c r="H100" s="74">
        <f t="shared" si="121"/>
        <v>60.354036439243508</v>
      </c>
      <c r="I100" s="74">
        <f t="shared" si="122"/>
        <v>214.3185806698333</v>
      </c>
      <c r="J100" s="67">
        <v>1032.3040000000001</v>
      </c>
      <c r="K100" s="67">
        <v>524.26599999999996</v>
      </c>
      <c r="L100" s="67">
        <v>641.54899999999998</v>
      </c>
      <c r="M100" s="67">
        <v>651.95299999999997</v>
      </c>
      <c r="N100" s="67">
        <v>439.03100000000001</v>
      </c>
      <c r="O100" s="67">
        <v>462.68200000000002</v>
      </c>
      <c r="P100" s="67">
        <v>779.30499999999995</v>
      </c>
      <c r="Q100" s="67">
        <v>499.77199999999999</v>
      </c>
      <c r="R100" s="67">
        <v>634.673</v>
      </c>
      <c r="S100" s="67">
        <v>555.88199999999995</v>
      </c>
      <c r="T100" s="67">
        <v>439.03100000000001</v>
      </c>
      <c r="U100" s="67">
        <v>350.70800000000003</v>
      </c>
      <c r="V100" s="67">
        <v>779.30499999999995</v>
      </c>
      <c r="W100" s="67">
        <v>708.29300000000001</v>
      </c>
      <c r="X100" s="67">
        <v>585.07299999999998</v>
      </c>
      <c r="Y100" s="67">
        <v>774.74699999999996</v>
      </c>
      <c r="Z100" s="67">
        <v>467.43099999999998</v>
      </c>
      <c r="AA100" s="67">
        <v>0</v>
      </c>
      <c r="AB100" s="67">
        <v>639.16800000000001</v>
      </c>
      <c r="AC100" s="67">
        <v>0</v>
      </c>
      <c r="AD100" s="67">
        <v>541.35199999999998</v>
      </c>
      <c r="AE100" s="67">
        <v>0</v>
      </c>
      <c r="AF100" s="67">
        <v>524.678</v>
      </c>
      <c r="AG100" s="67">
        <v>0</v>
      </c>
      <c r="AH100" s="75"/>
    </row>
  </sheetData>
  <customSheetViews>
    <customSheetView guid="{133BB3F8-8DD4-4AEF-8CD6-A5FB14681329}" scale="80" hiddenRows="1" state="hidden">
      <pane xSplit="6" ySplit="7" topLeftCell="G8" activePane="bottomRight" state="frozen"/>
      <selection pane="bottomRight" activeCell="Q19" sqref="Q19"/>
      <pageMargins left="0.7" right="0.7" top="0.75" bottom="0.75" header="0.3" footer="0.3"/>
      <pageSetup paperSize="9" orientation="portrait" r:id="rId1"/>
    </customSheetView>
    <customSheetView guid="{7C5A2A36-3D69-43D9-9018-A52C27EC78F9}" hiddenRows="1">
      <pane xSplit="6" ySplit="7" topLeftCell="H38" activePane="bottomRight" state="frozen"/>
      <selection pane="bottomRight" activeCell="K80" sqref="K80"/>
      <pageMargins left="0.7" right="0.7" top="0.75" bottom="0.75" header="0.3" footer="0.3"/>
      <pageSetup paperSize="9" orientation="portrait" r:id="rId2"/>
    </customSheetView>
    <customSheetView guid="{2A5A11D4-90C6-4A3E-8165-7D7BD634B22F}" scale="80" hiddenRows="1">
      <pane xSplit="6" ySplit="7" topLeftCell="G8" activePane="bottomRight" state="frozen"/>
      <selection pane="bottomRight" activeCell="L31" sqref="L31"/>
      <pageMargins left="0.7" right="0.7" top="0.75" bottom="0.75" header="0.3" footer="0.3"/>
      <pageSetup paperSize="9" orientation="portrait" r:id="rId3"/>
    </customSheetView>
    <customSheetView guid="{996EC2F0-F6EC-4E63-A83E-34865157BD8D}" scale="80" hiddenRows="1">
      <pane xSplit="6" ySplit="7" topLeftCell="G8" activePane="bottomRight" state="frozen"/>
      <selection pane="bottomRight" activeCell="L31" sqref="L31"/>
      <pageMargins left="0.7" right="0.7" top="0.75" bottom="0.75" header="0.3" footer="0.3"/>
      <pageSetup paperSize="9" orientation="portrait" r:id="rId4"/>
    </customSheetView>
    <customSheetView guid="{AB9978E4-895D-4050-8F07-2484E22632D1}" scale="80" hiddenRows="1">
      <pane xSplit="6" ySplit="7" topLeftCell="G67" activePane="bottomRight" state="frozen"/>
      <selection pane="bottomRight" activeCell="B22" sqref="B22:B25"/>
      <pageMargins left="0.7" right="0.7" top="0.75" bottom="0.75" header="0.3" footer="0.3"/>
      <pageSetup paperSize="9" orientation="portrait" r:id="rId5"/>
    </customSheetView>
    <customSheetView guid="{21E1D423-7B38-4272-8354-09B4DB62C9EB}" scale="80" hiddenRows="1">
      <pane xSplit="6" ySplit="7" topLeftCell="G8" activePane="bottomRight" state="frozen"/>
      <selection pane="bottomRight" activeCell="L31" sqref="L31"/>
      <pageMargins left="0.7" right="0.7" top="0.75" bottom="0.75" header="0.3" footer="0.3"/>
      <pageSetup paperSize="9" orientation="portrait" r:id="rId6"/>
    </customSheetView>
    <customSheetView guid="{2940A182-D1A7-43C5-8D6E-965BED4371B0}" scale="75" hiddenRows="1" hiddenColumns="1">
      <pane xSplit="5" ySplit="7" topLeftCell="G8" activePane="bottomRight" state="frozen"/>
      <selection pane="bottomRight" activeCell="AH94" sqref="AH94"/>
      <pageMargins left="0.7" right="0.7" top="0.75" bottom="0.75" header="0.3" footer="0.3"/>
      <pageSetup paperSize="9" orientation="portrait" r:id="rId7"/>
    </customSheetView>
    <customSheetView guid="{A0E2FBF6-E560-4343-8BE6-217DC798135B}" scale="80" hiddenRows="1">
      <pane xSplit="6" ySplit="7" topLeftCell="G8" activePane="bottomRight" state="frozen"/>
      <selection pane="bottomRight" activeCell="L31" sqref="L31"/>
      <pageMargins left="0.7" right="0.7" top="0.75" bottom="0.75" header="0.3" footer="0.3"/>
      <pageSetup paperSize="9" orientation="portrait" r:id="rId8"/>
    </customSheetView>
    <customSheetView guid="{BBF6B43F-E0FC-43DF-B91C-674F6AB4B556}" scale="80" hiddenRows="1">
      <pane xSplit="6" ySplit="7" topLeftCell="G8" activePane="bottomRight" state="frozen"/>
      <selection pane="bottomRight" activeCell="C2" sqref="C2:S2"/>
      <pageMargins left="0.7" right="0.7" top="0.75" bottom="0.75" header="0.3" footer="0.3"/>
      <pageSetup paperSize="9" orientation="portrait" r:id="rId9"/>
    </customSheetView>
    <customSheetView guid="{C68436F4-AFB3-4D1D-A7C4-56D0C677D68E}" scale="80" hiddenRows="1">
      <pane xSplit="6" ySplit="7" topLeftCell="G8" activePane="bottomRight" state="frozen"/>
      <selection pane="bottomRight" activeCell="L31" sqref="L31"/>
      <pageMargins left="0.7" right="0.7" top="0.75" bottom="0.75" header="0.3" footer="0.3"/>
      <pageSetup paperSize="9" orientation="portrait" r:id="rId10"/>
    </customSheetView>
    <customSheetView guid="{DAEDC989-02E7-4319-8354-59410ACF3F1F}" scale="80" hiddenRows="1">
      <pane xSplit="6" ySplit="7" topLeftCell="G8" activePane="bottomRight" state="frozen"/>
      <selection pane="bottomRight" activeCell="L31" sqref="L31"/>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L31" sqref="L31"/>
      <pageMargins left="0.7" right="0.7" top="0.75" bottom="0.75" header="0.3" footer="0.3"/>
      <pageSetup paperSize="9" orientation="portrait" r:id="rId12"/>
    </customSheetView>
    <customSheetView guid="{C7DC638A-7F60-46C9-A1FB-9ADEAE87F332}" scale="80" hiddenRows="1">
      <pane xSplit="6" ySplit="7" topLeftCell="H38" activePane="bottomRight" state="frozen"/>
      <selection pane="bottomRight" activeCell="K80" sqref="K80"/>
      <pageMargins left="0.7" right="0.7" top="0.75" bottom="0.75" header="0.3" footer="0.3"/>
      <pageSetup paperSize="9" orientation="portrait" r:id="rId13"/>
    </customSheetView>
    <customSheetView guid="{C01DC081-B312-4391-B775-A8CE76216D71}" scale="80" hiddenRows="1">
      <pane xSplit="6" ySplit="7" topLeftCell="G8" activePane="bottomRight" state="frozen"/>
      <selection pane="bottomRight" activeCell="B22" sqref="B22:B25"/>
      <pageMargins left="0.7" right="0.7" top="0.75" bottom="0.75" header="0.3" footer="0.3"/>
      <pageSetup paperSize="9" orientation="portrait" r:id="rId14"/>
    </customSheetView>
    <customSheetView guid="{562453CE-35F5-40A3-AD14-6399D1197C99}" scale="80" hiddenRows="1">
      <pane xSplit="6" ySplit="7" topLeftCell="G8" activePane="bottomRight" state="frozen"/>
      <selection pane="bottomRight" activeCell="L31" sqref="L31"/>
      <pageMargins left="0.7" right="0.7" top="0.75" bottom="0.75" header="0.3" footer="0.3"/>
      <pageSetup paperSize="9" orientation="portrait" r:id="rId15"/>
    </customSheetView>
    <customSheetView guid="{A7640BE7-6438-4196-9A67-AF5B992A1E70}" scale="75" hiddenRows="1">
      <pane xSplit="6" ySplit="7" topLeftCell="G67" activePane="bottomRight" state="frozen"/>
      <selection pane="bottomRight" activeCell="B22" sqref="B22:B25"/>
      <pageMargins left="0.7" right="0.7" top="0.75" bottom="0.75" header="0.3" footer="0.3"/>
      <pageSetup paperSize="9" orientation="portrait" r:id="rId16"/>
    </customSheetView>
    <customSheetView guid="{30B635D9-57DB-47D5-8A0F-4B30DD769960}" scale="80" hiddenRows="1">
      <pane xSplit="6" ySplit="7" topLeftCell="G8" activePane="bottomRight" state="frozen"/>
      <selection pane="bottomRight" activeCell="C2" sqref="C2:S2"/>
      <pageMargins left="0.7" right="0.7" top="0.75" bottom="0.75" header="0.3" footer="0.3"/>
      <pageSetup paperSize="9" orientation="portrait" r:id="rId17"/>
    </customSheetView>
    <customSheetView guid="{20A05A62-CBE8-4538-BBC3-2AD9D3B8FAC0}" scale="80" hiddenRows="1">
      <pane xSplit="6" ySplit="7" topLeftCell="G8" activePane="bottomRight" state="frozen"/>
      <selection pane="bottomRight" activeCell="L31" sqref="L31"/>
      <pageMargins left="0.7" right="0.7" top="0.75" bottom="0.75" header="0.3" footer="0.3"/>
      <pageSetup paperSize="9" orientation="portrait" r:id="rId18"/>
    </customSheetView>
    <customSheetView guid="{C282AA4E-1BB5-4296-9AC6-844C0F88E5FC}" hiddenRows="1">
      <pane xSplit="6" ySplit="7" topLeftCell="G8" activePane="bottomRight" state="frozen"/>
      <selection pane="bottomRight" activeCell="F6" sqref="F6"/>
      <pageMargins left="0.7" right="0.7" top="0.75" bottom="0.75" header="0.3" footer="0.3"/>
      <pageSetup paperSize="9" orientation="portrait" r:id="rId19"/>
    </customSheetView>
    <customSheetView guid="{4E221C17-6DAB-4FFA-B18C-35D4D85AF6E8}" scale="80" hiddenRows="1">
      <pane xSplit="6" ySplit="7" topLeftCell="X8" activePane="bottomRight" state="frozen"/>
      <selection pane="bottomRight" activeCell="C2" sqref="C2:S2"/>
      <pageMargins left="0.7" right="0.7" top="0.75" bottom="0.75" header="0.3" footer="0.3"/>
      <pageSetup paperSize="9" orientation="portrait" r:id="rId20"/>
    </customSheetView>
    <customSheetView guid="{AFADB96A-0516-43C1-9F1B-0604F3CAC04A}" hiddenRows="1">
      <pane xSplit="6" ySplit="7" topLeftCell="G8" activePane="bottomRight" state="frozen"/>
      <selection pane="bottomRight" activeCell="L31" sqref="L31"/>
      <pageMargins left="0.7" right="0.7" top="0.75" bottom="0.75" header="0.3" footer="0.3"/>
      <pageSetup paperSize="9" orientation="portrait" r:id="rId21"/>
    </customSheetView>
    <customSheetView guid="{F528EF6A-C113-49B5-B25F-D660F898CBFB}" hiddenRows="1">
      <pane xSplit="6" ySplit="7" topLeftCell="G8" activePane="bottomRight" state="frozen"/>
      <selection pane="bottomRight" activeCell="F6" sqref="F6"/>
      <pageMargins left="0.7" right="0.7" top="0.75" bottom="0.75" header="0.3" footer="0.3"/>
      <pageSetup paperSize="9" orientation="portrait" r:id="rId22"/>
    </customSheetView>
    <customSheetView guid="{B6B60ED6-A6CC-4DA7-A8CA-5E6DB52D5A87}" scale="80" hiddenRows="1">
      <pane xSplit="6" ySplit="7" topLeftCell="G8" activePane="bottomRight" state="frozen"/>
      <selection pane="bottomRight" activeCell="L31" sqref="L31"/>
      <pageMargins left="0.7" right="0.7" top="0.75" bottom="0.75" header="0.3" footer="0.3"/>
      <pageSetup paperSize="9" orientation="portrait" r:id="rId23"/>
    </customSheetView>
    <customSheetView guid="{A4AF2100-C59D-4F60-9EAB-56D9103463F7}" scale="80" hiddenRows="1">
      <pane xSplit="6" ySplit="7" topLeftCell="G8" activePane="bottomRight" state="frozen"/>
      <selection pane="bottomRight" activeCell="L31" sqref="L31"/>
      <pageMargins left="0.7" right="0.7" top="0.75" bottom="0.75" header="0.3" footer="0.3"/>
      <pageSetup paperSize="9" orientation="portrait" r:id="rId24"/>
    </customSheetView>
    <customSheetView guid="{EA46B61D-849C-4795-A4FF-F8F1740022EB}" scale="80" hiddenRows="1">
      <pane xSplit="6" ySplit="7" topLeftCell="G8" activePane="bottomRight" state="frozen"/>
      <selection pane="bottomRight" activeCell="L31" sqref="L31"/>
      <pageMargins left="0.7" right="0.7" top="0.75" bottom="0.75" header="0.3" footer="0.3"/>
      <pageSetup paperSize="9" orientation="portrait" r:id="rId25"/>
    </customSheetView>
    <customSheetView guid="{B686A221-D885-4536-BEAC-E7F4BBC02150}" scale="80" hiddenRows="1">
      <pane xSplit="6" ySplit="7" topLeftCell="G8" activePane="bottomRight" state="frozen"/>
      <selection pane="bottomRight" activeCell="L31" sqref="L31"/>
      <pageMargins left="0.7" right="0.7" top="0.75" bottom="0.75" header="0.3" footer="0.3"/>
      <pageSetup paperSize="9" orientation="portrait" r:id="rId26"/>
    </customSheetView>
    <customSheetView guid="{60A1F930-4BEC-460A-8E14-01E47F6DD055}" scale="80" hiddenRows="1">
      <pane xSplit="6" ySplit="4" topLeftCell="G8" activePane="bottomRight" state="frozen"/>
      <selection pane="bottomRight" activeCell="L31" sqref="L31"/>
      <pageMargins left="0.7" right="0.7" top="0.75" bottom="0.75" header="0.3" footer="0.3"/>
      <pageSetup paperSize="9" orientation="portrait" r:id="rId27"/>
    </customSheetView>
    <customSheetView guid="{5DF2C78B-5EE4-439D-8D72-8D3A913B65F9}" scale="80" hiddenRows="1">
      <pane xSplit="6" ySplit="7" topLeftCell="G95" activePane="bottomRight" state="frozen"/>
      <selection pane="bottomRight" activeCell="G70" sqref="G70"/>
      <pageMargins left="0.7" right="0.7" top="0.75" bottom="0.75" header="0.3" footer="0.3"/>
      <pageSetup paperSize="9" orientation="portrait" r:id="rId28"/>
    </customSheetView>
  </customSheetViews>
  <mergeCells count="75">
    <mergeCell ref="A99:A100"/>
    <mergeCell ref="B99:B100"/>
    <mergeCell ref="A82:A85"/>
    <mergeCell ref="B82:B85"/>
    <mergeCell ref="B86:B89"/>
    <mergeCell ref="B90:B93"/>
    <mergeCell ref="B94:AG94"/>
    <mergeCell ref="A95:A96"/>
    <mergeCell ref="B95:B96"/>
    <mergeCell ref="A77:A79"/>
    <mergeCell ref="B77:B79"/>
    <mergeCell ref="A80:A81"/>
    <mergeCell ref="B80:B81"/>
    <mergeCell ref="A97:A98"/>
    <mergeCell ref="B97:B98"/>
    <mergeCell ref="A67:A69"/>
    <mergeCell ref="B67:B69"/>
    <mergeCell ref="B70:B71"/>
    <mergeCell ref="A74:A76"/>
    <mergeCell ref="B74:B76"/>
    <mergeCell ref="B72:B73"/>
    <mergeCell ref="B63:B64"/>
    <mergeCell ref="A58:A60"/>
    <mergeCell ref="B58:B60"/>
    <mergeCell ref="A40:A42"/>
    <mergeCell ref="B40:B42"/>
    <mergeCell ref="B43:B44"/>
    <mergeCell ref="B45:B46"/>
    <mergeCell ref="A47:A49"/>
    <mergeCell ref="B47:B49"/>
    <mergeCell ref="B50:B51"/>
    <mergeCell ref="B52:B53"/>
    <mergeCell ref="B54:B55"/>
    <mergeCell ref="B56:B57"/>
    <mergeCell ref="B61:B62"/>
    <mergeCell ref="A30:A33"/>
    <mergeCell ref="B30:B33"/>
    <mergeCell ref="A34:A36"/>
    <mergeCell ref="B34:B36"/>
    <mergeCell ref="A37:A39"/>
    <mergeCell ref="B37:B39"/>
    <mergeCell ref="A18:A21"/>
    <mergeCell ref="B18:B21"/>
    <mergeCell ref="A22:A25"/>
    <mergeCell ref="B22:B25"/>
    <mergeCell ref="A26:A29"/>
    <mergeCell ref="B26:B29"/>
    <mergeCell ref="AH4:AH6"/>
    <mergeCell ref="A8:A12"/>
    <mergeCell ref="B8:B12"/>
    <mergeCell ref="B13:AG13"/>
    <mergeCell ref="A14:A17"/>
    <mergeCell ref="B14: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6"/>
  <sheetViews>
    <sheetView zoomScale="70" zoomScaleNormal="70" workbookViewId="0">
      <pane xSplit="6" ySplit="7" topLeftCell="G8" activePane="bottomRight" state="frozen"/>
      <selection pane="topRight" activeCell="G1" sqref="G1"/>
      <selection pane="bottomLeft" activeCell="A8" sqref="A8"/>
      <selection pane="bottomRight" activeCell="Q19" sqref="Q19"/>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2.71093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140625" style="8" customWidth="1"/>
    <col min="21" max="21" width="13" style="8" bestFit="1"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59"/>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30" customHeight="1" x14ac:dyDescent="0.25">
      <c r="A3" s="55"/>
      <c r="B3" s="55"/>
      <c r="C3" s="513" t="s">
        <v>273</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20" t="s">
        <v>30</v>
      </c>
      <c r="D4" s="523"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21"/>
      <c r="D5" s="524"/>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22"/>
      <c r="D6" s="121">
        <v>2025</v>
      </c>
      <c r="E6" s="39">
        <v>45778</v>
      </c>
      <c r="F6" s="39">
        <v>45778</v>
      </c>
      <c r="G6" s="39">
        <v>45748</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607"/>
      <c r="B8" s="533" t="s">
        <v>23</v>
      </c>
      <c r="C8" s="123" t="s">
        <v>20</v>
      </c>
      <c r="D8" s="70">
        <f>D9+D10+D12+D11</f>
        <v>390435.25400000002</v>
      </c>
      <c r="E8" s="70">
        <f t="shared" ref="E8:G8" si="0">E9+E10+E12+E11</f>
        <v>42485.101000000002</v>
      </c>
      <c r="F8" s="70">
        <f t="shared" si="0"/>
        <v>232285.11500000002</v>
      </c>
      <c r="G8" s="70">
        <f t="shared" si="0"/>
        <v>232285.11500000002</v>
      </c>
      <c r="H8" s="70">
        <f>IFERROR(G8/D8*100,0)</f>
        <v>59.493888582100226</v>
      </c>
      <c r="I8" s="70">
        <f>IFERROR(G8/E8*100,0)</f>
        <v>546.74488122318451</v>
      </c>
      <c r="J8" s="71">
        <f t="shared" ref="J8:AG8" si="1">J9+J10+J12+J11</f>
        <v>42485.101000000002</v>
      </c>
      <c r="K8" s="71">
        <f t="shared" si="1"/>
        <v>11433.275</v>
      </c>
      <c r="L8" s="71">
        <f t="shared" si="1"/>
        <v>44106.305999999997</v>
      </c>
      <c r="M8" s="71">
        <f t="shared" si="1"/>
        <v>26748.120000000003</v>
      </c>
      <c r="N8" s="71">
        <f t="shared" si="1"/>
        <v>31881.813999999998</v>
      </c>
      <c r="O8" s="71">
        <f t="shared" si="1"/>
        <v>30737.91</v>
      </c>
      <c r="P8" s="71">
        <f t="shared" si="1"/>
        <v>52014.055999999997</v>
      </c>
      <c r="Q8" s="71">
        <f t="shared" si="1"/>
        <v>42085.280000000006</v>
      </c>
      <c r="R8" s="71">
        <f t="shared" si="1"/>
        <v>34682.883000000002</v>
      </c>
      <c r="S8" s="71">
        <f t="shared" si="1"/>
        <v>31799.45</v>
      </c>
      <c r="T8" s="71">
        <f t="shared" si="1"/>
        <v>37742.286000000007</v>
      </c>
      <c r="U8" s="71">
        <f t="shared" si="1"/>
        <v>37750.500000000007</v>
      </c>
      <c r="V8" s="71">
        <f t="shared" si="1"/>
        <v>26152.824999999997</v>
      </c>
      <c r="W8" s="71">
        <f t="shared" si="1"/>
        <v>29123.4</v>
      </c>
      <c r="X8" s="71">
        <f t="shared" si="1"/>
        <v>19147.849999999995</v>
      </c>
      <c r="Y8" s="71">
        <f t="shared" si="1"/>
        <v>22607.18</v>
      </c>
      <c r="Z8" s="71">
        <f t="shared" si="1"/>
        <v>27261.811999999994</v>
      </c>
      <c r="AA8" s="71">
        <f t="shared" si="1"/>
        <v>0</v>
      </c>
      <c r="AB8" s="71">
        <f t="shared" si="1"/>
        <v>22877.634999999998</v>
      </c>
      <c r="AC8" s="71">
        <f t="shared" si="1"/>
        <v>0</v>
      </c>
      <c r="AD8" s="71">
        <f t="shared" si="1"/>
        <v>21766.190999999999</v>
      </c>
      <c r="AE8" s="71">
        <f t="shared" si="1"/>
        <v>0</v>
      </c>
      <c r="AF8" s="71">
        <f t="shared" si="1"/>
        <v>30316.495000000003</v>
      </c>
      <c r="AG8" s="71">
        <f t="shared" si="1"/>
        <v>0</v>
      </c>
      <c r="AH8" s="155"/>
    </row>
    <row r="9" spans="1:35" s="26" customFormat="1" ht="26.25" hidden="1" customHeight="1" x14ac:dyDescent="0.25">
      <c r="A9" s="608"/>
      <c r="B9" s="534"/>
      <c r="C9" s="124" t="s">
        <v>52</v>
      </c>
      <c r="D9" s="74">
        <f>J9+L9+N9+P9+R9+T9+V9+X9+Z9+AB9+AD9+AF9</f>
        <v>0</v>
      </c>
      <c r="E9" s="74">
        <f>J9</f>
        <v>0</v>
      </c>
      <c r="F9" s="74">
        <f>G9</f>
        <v>0</v>
      </c>
      <c r="G9" s="74">
        <f>K9+M9+O9+Q9+S9+U9+W9+Y9+AA9+AC9+AE9+AG9</f>
        <v>0</v>
      </c>
      <c r="H9" s="74">
        <f t="shared" ref="H9" si="2">IFERROR(G9/D9*100,0)</f>
        <v>0</v>
      </c>
      <c r="I9" s="74">
        <f t="shared" ref="I9" si="3">IFERROR(G9/E9*100,0)</f>
        <v>0</v>
      </c>
      <c r="J9" s="74">
        <f t="shared" ref="J9:AG9" si="4">J15+J61+J77+J83</f>
        <v>0</v>
      </c>
      <c r="K9" s="74">
        <f t="shared" si="4"/>
        <v>0</v>
      </c>
      <c r="L9" s="74">
        <f t="shared" si="4"/>
        <v>0</v>
      </c>
      <c r="M9" s="74">
        <f t="shared" si="4"/>
        <v>0</v>
      </c>
      <c r="N9" s="74">
        <f t="shared" si="4"/>
        <v>0</v>
      </c>
      <c r="O9" s="74">
        <f t="shared" si="4"/>
        <v>0</v>
      </c>
      <c r="P9" s="74">
        <f t="shared" si="4"/>
        <v>0</v>
      </c>
      <c r="Q9" s="74">
        <f t="shared" si="4"/>
        <v>0</v>
      </c>
      <c r="R9" s="74">
        <f t="shared" si="4"/>
        <v>0</v>
      </c>
      <c r="S9" s="74">
        <f t="shared" si="4"/>
        <v>0</v>
      </c>
      <c r="T9" s="74">
        <f t="shared" si="4"/>
        <v>0</v>
      </c>
      <c r="U9" s="74">
        <f t="shared" si="4"/>
        <v>0</v>
      </c>
      <c r="V9" s="74">
        <f t="shared" si="4"/>
        <v>0</v>
      </c>
      <c r="W9" s="74">
        <f t="shared" si="4"/>
        <v>0</v>
      </c>
      <c r="X9" s="74">
        <f t="shared" si="4"/>
        <v>0</v>
      </c>
      <c r="Y9" s="74">
        <f t="shared" si="4"/>
        <v>0</v>
      </c>
      <c r="Z9" s="74">
        <f t="shared" si="4"/>
        <v>0</v>
      </c>
      <c r="AA9" s="74">
        <f t="shared" si="4"/>
        <v>0</v>
      </c>
      <c r="AB9" s="74">
        <f t="shared" si="4"/>
        <v>0</v>
      </c>
      <c r="AC9" s="74">
        <f t="shared" si="4"/>
        <v>0</v>
      </c>
      <c r="AD9" s="74">
        <f t="shared" si="4"/>
        <v>0</v>
      </c>
      <c r="AE9" s="74">
        <f t="shared" si="4"/>
        <v>0</v>
      </c>
      <c r="AF9" s="74">
        <f t="shared" si="4"/>
        <v>0</v>
      </c>
      <c r="AG9" s="74">
        <f t="shared" si="4"/>
        <v>0</v>
      </c>
      <c r="AH9" s="75"/>
    </row>
    <row r="10" spans="1:35" s="26" customFormat="1" ht="40.5" customHeight="1" x14ac:dyDescent="0.25">
      <c r="A10" s="608"/>
      <c r="B10" s="534"/>
      <c r="C10" s="124" t="s">
        <v>22</v>
      </c>
      <c r="D10" s="74">
        <f t="shared" ref="D10:D12" si="5">J10+L10+N10+P10+R10+T10+V10+X10+Z10+AB10+AD10+AF10</f>
        <v>17226.5</v>
      </c>
      <c r="E10" s="74">
        <f t="shared" ref="E10:E12" si="6">J10</f>
        <v>0</v>
      </c>
      <c r="F10" s="74">
        <f t="shared" ref="F10:F12" si="7">G10</f>
        <v>9792.01</v>
      </c>
      <c r="G10" s="74">
        <f t="shared" ref="G10:G12" si="8">K10+M10+O10+Q10+S10+U10+W10+Y10+AA10+AC10+AE10+AG10</f>
        <v>9792.01</v>
      </c>
      <c r="H10" s="74">
        <f>IFERROR(G10/D10*100,0)</f>
        <v>56.842713261544716</v>
      </c>
      <c r="I10" s="74">
        <f>IFERROR(G10/E10*100,0)</f>
        <v>0</v>
      </c>
      <c r="J10" s="74">
        <f t="shared" ref="J10:AG10" si="9">J16+J62+J78+J84</f>
        <v>0</v>
      </c>
      <c r="K10" s="74">
        <f t="shared" si="9"/>
        <v>0</v>
      </c>
      <c r="L10" s="74">
        <f t="shared" si="9"/>
        <v>3677.26</v>
      </c>
      <c r="M10" s="74">
        <f t="shared" si="9"/>
        <v>3677.26</v>
      </c>
      <c r="N10" s="74">
        <f t="shared" si="9"/>
        <v>0</v>
      </c>
      <c r="O10" s="74">
        <f t="shared" si="9"/>
        <v>0</v>
      </c>
      <c r="P10" s="74">
        <f t="shared" si="9"/>
        <v>4081.4870000000001</v>
      </c>
      <c r="Q10" s="74">
        <f t="shared" si="9"/>
        <v>1197.6600000000001</v>
      </c>
      <c r="R10" s="74">
        <f t="shared" si="9"/>
        <v>5891.7250000000004</v>
      </c>
      <c r="S10" s="74">
        <f t="shared" si="9"/>
        <v>2487.0699999999997</v>
      </c>
      <c r="T10" s="74">
        <f t="shared" si="9"/>
        <v>0</v>
      </c>
      <c r="U10" s="74">
        <f t="shared" si="9"/>
        <v>0</v>
      </c>
      <c r="V10" s="74">
        <f t="shared" si="9"/>
        <v>0</v>
      </c>
      <c r="W10" s="74">
        <f t="shared" si="9"/>
        <v>1590.3600000000001</v>
      </c>
      <c r="X10" s="74">
        <f t="shared" si="9"/>
        <v>0</v>
      </c>
      <c r="Y10" s="74">
        <f t="shared" si="9"/>
        <v>839.66</v>
      </c>
      <c r="Z10" s="74">
        <f t="shared" si="9"/>
        <v>3050.0129999999999</v>
      </c>
      <c r="AA10" s="74">
        <f t="shared" si="9"/>
        <v>0</v>
      </c>
      <c r="AB10" s="74">
        <f t="shared" si="9"/>
        <v>0</v>
      </c>
      <c r="AC10" s="74">
        <f t="shared" si="9"/>
        <v>0</v>
      </c>
      <c r="AD10" s="74">
        <f t="shared" si="9"/>
        <v>526.01499999999999</v>
      </c>
      <c r="AE10" s="74">
        <f t="shared" si="9"/>
        <v>0</v>
      </c>
      <c r="AF10" s="74">
        <f t="shared" si="9"/>
        <v>0</v>
      </c>
      <c r="AG10" s="74">
        <f t="shared" si="9"/>
        <v>0</v>
      </c>
      <c r="AH10" s="75"/>
    </row>
    <row r="11" spans="1:35" s="26" customFormat="1" ht="40.5" customHeight="1" x14ac:dyDescent="0.25">
      <c r="A11" s="608"/>
      <c r="B11" s="534"/>
      <c r="C11" s="124" t="s">
        <v>21</v>
      </c>
      <c r="D11" s="74">
        <f t="shared" si="5"/>
        <v>332753.152</v>
      </c>
      <c r="E11" s="74">
        <f t="shared" si="6"/>
        <v>37802.257000000005</v>
      </c>
      <c r="F11" s="74">
        <f t="shared" si="7"/>
        <v>222493.10500000001</v>
      </c>
      <c r="G11" s="74">
        <f t="shared" si="8"/>
        <v>222493.10500000001</v>
      </c>
      <c r="H11" s="74">
        <f>IFERROR(G11/D11*100,0)</f>
        <v>66.864311776677027</v>
      </c>
      <c r="I11" s="74">
        <f>IFERROR(G11/E11*100,0)</f>
        <v>588.57095490356562</v>
      </c>
      <c r="J11" s="74">
        <f t="shared" ref="J11:AG11" si="10">J17+J63+J79+J85</f>
        <v>37802.257000000005</v>
      </c>
      <c r="K11" s="74">
        <f t="shared" si="10"/>
        <v>11433.275</v>
      </c>
      <c r="L11" s="74">
        <f t="shared" si="10"/>
        <v>35779.326000000001</v>
      </c>
      <c r="M11" s="74">
        <f t="shared" si="10"/>
        <v>23070.86</v>
      </c>
      <c r="N11" s="74">
        <f t="shared" si="10"/>
        <v>26507.708999999999</v>
      </c>
      <c r="O11" s="74">
        <f t="shared" si="10"/>
        <v>30737.91</v>
      </c>
      <c r="P11" s="74">
        <f t="shared" si="10"/>
        <v>44372.375</v>
      </c>
      <c r="Q11" s="74">
        <f t="shared" si="10"/>
        <v>40887.620000000003</v>
      </c>
      <c r="R11" s="74">
        <f t="shared" si="10"/>
        <v>24702.277999999998</v>
      </c>
      <c r="S11" s="74">
        <f t="shared" si="10"/>
        <v>29312.38</v>
      </c>
      <c r="T11" s="74">
        <f t="shared" si="10"/>
        <v>36636.831000000006</v>
      </c>
      <c r="U11" s="74">
        <f t="shared" si="10"/>
        <v>37750.500000000007</v>
      </c>
      <c r="V11" s="74">
        <f t="shared" si="10"/>
        <v>26143.984999999997</v>
      </c>
      <c r="W11" s="74">
        <f t="shared" si="10"/>
        <v>27533.040000000001</v>
      </c>
      <c r="X11" s="74">
        <f t="shared" si="10"/>
        <v>19139.009999999995</v>
      </c>
      <c r="Y11" s="74">
        <f t="shared" si="10"/>
        <v>21767.52</v>
      </c>
      <c r="Z11" s="74">
        <f t="shared" si="10"/>
        <v>19931.918999999994</v>
      </c>
      <c r="AA11" s="74">
        <f t="shared" si="10"/>
        <v>0</v>
      </c>
      <c r="AB11" s="74">
        <f t="shared" si="10"/>
        <v>18688.366999999998</v>
      </c>
      <c r="AC11" s="74">
        <f t="shared" si="10"/>
        <v>0</v>
      </c>
      <c r="AD11" s="74">
        <f t="shared" si="10"/>
        <v>17330.419999999998</v>
      </c>
      <c r="AE11" s="74">
        <f t="shared" si="10"/>
        <v>0</v>
      </c>
      <c r="AF11" s="74">
        <f t="shared" si="10"/>
        <v>25718.675000000003</v>
      </c>
      <c r="AG11" s="74">
        <f t="shared" si="10"/>
        <v>0</v>
      </c>
      <c r="AH11" s="75"/>
    </row>
    <row r="12" spans="1:35" s="26" customFormat="1" ht="34.5" customHeight="1" x14ac:dyDescent="0.25">
      <c r="A12" s="609"/>
      <c r="B12" s="535"/>
      <c r="C12" s="124" t="s">
        <v>113</v>
      </c>
      <c r="D12" s="74">
        <f t="shared" si="5"/>
        <v>40455.602000000006</v>
      </c>
      <c r="E12" s="74">
        <f t="shared" si="6"/>
        <v>4682.8440000000001</v>
      </c>
      <c r="F12" s="74">
        <f t="shared" si="7"/>
        <v>0</v>
      </c>
      <c r="G12" s="74">
        <f t="shared" si="8"/>
        <v>0</v>
      </c>
      <c r="H12" s="74">
        <f>IFERROR(G12/D12*100,0)</f>
        <v>0</v>
      </c>
      <c r="I12" s="74">
        <f>IFERROR(G12/E12*100,0)</f>
        <v>0</v>
      </c>
      <c r="J12" s="74">
        <f t="shared" ref="J12:AG12" si="11">J18+J64+J80</f>
        <v>4682.8440000000001</v>
      </c>
      <c r="K12" s="74">
        <f t="shared" si="11"/>
        <v>0</v>
      </c>
      <c r="L12" s="74">
        <f t="shared" si="11"/>
        <v>4649.72</v>
      </c>
      <c r="M12" s="74">
        <f t="shared" si="11"/>
        <v>0</v>
      </c>
      <c r="N12" s="74">
        <f t="shared" si="11"/>
        <v>5374.1049999999996</v>
      </c>
      <c r="O12" s="74">
        <f t="shared" si="11"/>
        <v>0</v>
      </c>
      <c r="P12" s="74">
        <f t="shared" si="11"/>
        <v>3560.194</v>
      </c>
      <c r="Q12" s="74">
        <f t="shared" si="11"/>
        <v>0</v>
      </c>
      <c r="R12" s="74">
        <f t="shared" si="11"/>
        <v>4088.88</v>
      </c>
      <c r="S12" s="74">
        <f t="shared" si="11"/>
        <v>0</v>
      </c>
      <c r="T12" s="74">
        <f t="shared" si="11"/>
        <v>1105.4549999999999</v>
      </c>
      <c r="U12" s="74">
        <f t="shared" si="11"/>
        <v>0</v>
      </c>
      <c r="V12" s="74">
        <f t="shared" si="11"/>
        <v>8.84</v>
      </c>
      <c r="W12" s="74">
        <f t="shared" si="11"/>
        <v>0</v>
      </c>
      <c r="X12" s="74">
        <f t="shared" si="11"/>
        <v>8.84</v>
      </c>
      <c r="Y12" s="74">
        <f t="shared" si="11"/>
        <v>0</v>
      </c>
      <c r="Z12" s="74">
        <f t="shared" si="11"/>
        <v>4279.88</v>
      </c>
      <c r="AA12" s="74">
        <f t="shared" si="11"/>
        <v>0</v>
      </c>
      <c r="AB12" s="74">
        <f t="shared" si="11"/>
        <v>4189.268</v>
      </c>
      <c r="AC12" s="74">
        <f t="shared" si="11"/>
        <v>0</v>
      </c>
      <c r="AD12" s="74">
        <f t="shared" si="11"/>
        <v>3909.7559999999999</v>
      </c>
      <c r="AE12" s="74">
        <f t="shared" si="11"/>
        <v>0</v>
      </c>
      <c r="AF12" s="74">
        <f t="shared" si="11"/>
        <v>4597.82</v>
      </c>
      <c r="AG12" s="74">
        <f t="shared" si="11"/>
        <v>0</v>
      </c>
      <c r="AH12" s="75"/>
    </row>
    <row r="13" spans="1:35" s="22" customFormat="1" ht="18.75" customHeight="1" x14ac:dyDescent="0.25">
      <c r="A13" s="156" t="s">
        <v>151</v>
      </c>
      <c r="B13" s="596" t="s">
        <v>274</v>
      </c>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7"/>
      <c r="AG13" s="598"/>
      <c r="AH13" s="46"/>
    </row>
    <row r="14" spans="1:35" s="21" customFormat="1" ht="23.25" customHeight="1" x14ac:dyDescent="0.25">
      <c r="A14" s="539" t="s">
        <v>169</v>
      </c>
      <c r="B14" s="578" t="s">
        <v>275</v>
      </c>
      <c r="C14" s="123" t="s">
        <v>20</v>
      </c>
      <c r="D14" s="70">
        <f>D15+D17+D18+D16</f>
        <v>339655.63099999999</v>
      </c>
      <c r="E14" s="70">
        <f t="shared" ref="E14:G14" si="12">E15+E17+E18+E16</f>
        <v>36494.32</v>
      </c>
      <c r="F14" s="70">
        <f t="shared" si="12"/>
        <v>195954.69</v>
      </c>
      <c r="G14" s="70">
        <f t="shared" si="12"/>
        <v>195954.69</v>
      </c>
      <c r="H14" s="70">
        <f t="shared" ref="H14:H77" si="13">IFERROR(G14/D14*100,0)</f>
        <v>57.692165863135656</v>
      </c>
      <c r="I14" s="70">
        <f t="shared" ref="I14:I77" si="14">IFERROR(G14/E14*100,0)</f>
        <v>536.94572196440436</v>
      </c>
      <c r="J14" s="70">
        <f t="shared" ref="J14:AF14" si="15">J15+J16+J17+J18</f>
        <v>36494.32</v>
      </c>
      <c r="K14" s="70">
        <f t="shared" si="15"/>
        <v>8284.91</v>
      </c>
      <c r="L14" s="70">
        <f t="shared" si="15"/>
        <v>30792.891</v>
      </c>
      <c r="M14" s="70">
        <f t="shared" si="15"/>
        <v>19526.420000000002</v>
      </c>
      <c r="N14" s="70">
        <f t="shared" si="15"/>
        <v>27311.174999999999</v>
      </c>
      <c r="O14" s="70">
        <f t="shared" si="15"/>
        <v>20695.099999999999</v>
      </c>
      <c r="P14" s="70">
        <f t="shared" si="15"/>
        <v>45420.217000000004</v>
      </c>
      <c r="Q14" s="70">
        <f t="shared" si="15"/>
        <v>38236.300000000003</v>
      </c>
      <c r="R14" s="70">
        <f t="shared" si="15"/>
        <v>28795.43</v>
      </c>
      <c r="S14" s="70">
        <f t="shared" si="15"/>
        <v>26899.49</v>
      </c>
      <c r="T14" s="70">
        <f t="shared" si="15"/>
        <v>35811.933000000005</v>
      </c>
      <c r="U14" s="70">
        <f t="shared" si="15"/>
        <v>35625.620000000003</v>
      </c>
      <c r="V14" s="70">
        <f t="shared" si="15"/>
        <v>22735.001999999997</v>
      </c>
      <c r="W14" s="70">
        <f t="shared" si="15"/>
        <v>26040.16</v>
      </c>
      <c r="X14" s="70">
        <f t="shared" si="15"/>
        <v>18223.389999999996</v>
      </c>
      <c r="Y14" s="70">
        <f t="shared" si="15"/>
        <v>20646.689999999999</v>
      </c>
      <c r="Z14" s="70">
        <f t="shared" si="15"/>
        <v>21985.595999999998</v>
      </c>
      <c r="AA14" s="70">
        <f t="shared" si="15"/>
        <v>0</v>
      </c>
      <c r="AB14" s="70">
        <f t="shared" si="15"/>
        <v>21781.152999999998</v>
      </c>
      <c r="AC14" s="70">
        <f t="shared" si="15"/>
        <v>0</v>
      </c>
      <c r="AD14" s="70">
        <f t="shared" si="15"/>
        <v>20576.764999999999</v>
      </c>
      <c r="AE14" s="70">
        <f t="shared" si="15"/>
        <v>0</v>
      </c>
      <c r="AF14" s="70">
        <f t="shared" si="15"/>
        <v>29727.759000000002</v>
      </c>
      <c r="AG14" s="70">
        <f>AG15+AG16+AG17+AG18</f>
        <v>0</v>
      </c>
      <c r="AH14" s="60"/>
      <c r="AI14" s="23"/>
    </row>
    <row r="15" spans="1:35" s="21" customFormat="1" ht="30.75" hidden="1" customHeight="1" x14ac:dyDescent="0.25">
      <c r="A15" s="540"/>
      <c r="B15" s="599"/>
      <c r="C15" s="124" t="s">
        <v>52</v>
      </c>
      <c r="D15" s="70">
        <f>SUM(J15,L15,N15,P15,R15,T15,V15,X15,Z15,AB15,AD15,AF15)</f>
        <v>0</v>
      </c>
      <c r="E15" s="70">
        <f>J15</f>
        <v>0</v>
      </c>
      <c r="F15" s="70">
        <f>G15</f>
        <v>0</v>
      </c>
      <c r="G15" s="70">
        <f>SUM(K15,M15,O15,Q15,S15,U15,W15,Y15,AA15,AC15,AE15,AG15)</f>
        <v>0</v>
      </c>
      <c r="H15" s="70">
        <f t="shared" si="13"/>
        <v>0</v>
      </c>
      <c r="I15" s="70">
        <f t="shared" si="14"/>
        <v>0</v>
      </c>
      <c r="J15" s="70">
        <f t="shared" ref="J15:AG15" si="16">J20+J55</f>
        <v>0</v>
      </c>
      <c r="K15" s="70">
        <f t="shared" si="16"/>
        <v>0</v>
      </c>
      <c r="L15" s="70">
        <f t="shared" si="16"/>
        <v>0</v>
      </c>
      <c r="M15" s="70">
        <f t="shared" si="16"/>
        <v>0</v>
      </c>
      <c r="N15" s="70">
        <f t="shared" si="16"/>
        <v>0</v>
      </c>
      <c r="O15" s="70">
        <f t="shared" si="16"/>
        <v>0</v>
      </c>
      <c r="P15" s="70">
        <f t="shared" si="16"/>
        <v>0</v>
      </c>
      <c r="Q15" s="70">
        <f t="shared" si="16"/>
        <v>0</v>
      </c>
      <c r="R15" s="70">
        <f t="shared" si="16"/>
        <v>0</v>
      </c>
      <c r="S15" s="70">
        <f t="shared" si="16"/>
        <v>0</v>
      </c>
      <c r="T15" s="70">
        <f t="shared" si="16"/>
        <v>0</v>
      </c>
      <c r="U15" s="70">
        <f t="shared" si="16"/>
        <v>0</v>
      </c>
      <c r="V15" s="70">
        <f t="shared" si="16"/>
        <v>0</v>
      </c>
      <c r="W15" s="70">
        <f t="shared" si="16"/>
        <v>0</v>
      </c>
      <c r="X15" s="70">
        <f t="shared" si="16"/>
        <v>0</v>
      </c>
      <c r="Y15" s="70">
        <f t="shared" si="16"/>
        <v>0</v>
      </c>
      <c r="Z15" s="70">
        <f t="shared" si="16"/>
        <v>0</v>
      </c>
      <c r="AA15" s="70">
        <f t="shared" si="16"/>
        <v>0</v>
      </c>
      <c r="AB15" s="70">
        <f t="shared" si="16"/>
        <v>0</v>
      </c>
      <c r="AC15" s="70">
        <f t="shared" si="16"/>
        <v>0</v>
      </c>
      <c r="AD15" s="70">
        <f t="shared" si="16"/>
        <v>0</v>
      </c>
      <c r="AE15" s="70">
        <f t="shared" si="16"/>
        <v>0</v>
      </c>
      <c r="AF15" s="70">
        <f t="shared" si="16"/>
        <v>0</v>
      </c>
      <c r="AG15" s="70">
        <f t="shared" si="16"/>
        <v>0</v>
      </c>
      <c r="AH15" s="60"/>
      <c r="AI15" s="23"/>
    </row>
    <row r="16" spans="1:35" s="21" customFormat="1" ht="33" customHeight="1" x14ac:dyDescent="0.25">
      <c r="A16" s="540"/>
      <c r="B16" s="599"/>
      <c r="C16" s="124" t="s">
        <v>22</v>
      </c>
      <c r="D16" s="74">
        <f>SUM(J16,L16,N16,P16,R16,T16,V16,X16,Z16,AB16,AD16,AF16)</f>
        <v>2804.7</v>
      </c>
      <c r="E16" s="74">
        <f>J16</f>
        <v>0</v>
      </c>
      <c r="F16" s="74">
        <f>G16</f>
        <v>520.71</v>
      </c>
      <c r="G16" s="74">
        <f>SUM(K16,M16,O16,Q16,S16,U16,W16,Y16,AA16,AC16,AE16,AG16)</f>
        <v>520.71</v>
      </c>
      <c r="H16" s="74">
        <f t="shared" si="13"/>
        <v>18.565621991656865</v>
      </c>
      <c r="I16" s="74">
        <f t="shared" si="14"/>
        <v>0</v>
      </c>
      <c r="J16" s="74">
        <f t="shared" ref="J16:AG16" si="17">J21+J56</f>
        <v>0</v>
      </c>
      <c r="K16" s="74">
        <f t="shared" si="17"/>
        <v>0</v>
      </c>
      <c r="L16" s="74">
        <f t="shared" si="17"/>
        <v>0</v>
      </c>
      <c r="M16" s="74">
        <f t="shared" si="17"/>
        <v>0</v>
      </c>
      <c r="N16" s="74">
        <f t="shared" si="17"/>
        <v>0</v>
      </c>
      <c r="O16" s="74">
        <f t="shared" si="17"/>
        <v>0</v>
      </c>
      <c r="P16" s="74">
        <f t="shared" si="17"/>
        <v>0</v>
      </c>
      <c r="Q16" s="74">
        <f t="shared" si="17"/>
        <v>0</v>
      </c>
      <c r="R16" s="74">
        <f t="shared" si="17"/>
        <v>2804.7</v>
      </c>
      <c r="S16" s="74">
        <f t="shared" si="17"/>
        <v>389.99</v>
      </c>
      <c r="T16" s="74">
        <f t="shared" si="17"/>
        <v>0</v>
      </c>
      <c r="U16" s="74">
        <f t="shared" si="17"/>
        <v>0</v>
      </c>
      <c r="V16" s="74">
        <f t="shared" si="17"/>
        <v>0</v>
      </c>
      <c r="W16" s="74">
        <f t="shared" si="17"/>
        <v>108.96</v>
      </c>
      <c r="X16" s="74">
        <f t="shared" si="17"/>
        <v>0</v>
      </c>
      <c r="Y16" s="74">
        <f t="shared" si="17"/>
        <v>21.76</v>
      </c>
      <c r="Z16" s="74">
        <f t="shared" si="17"/>
        <v>0</v>
      </c>
      <c r="AA16" s="74">
        <f t="shared" si="17"/>
        <v>0</v>
      </c>
      <c r="AB16" s="74">
        <f t="shared" si="17"/>
        <v>0</v>
      </c>
      <c r="AC16" s="74">
        <f t="shared" si="17"/>
        <v>0</v>
      </c>
      <c r="AD16" s="74">
        <f t="shared" si="17"/>
        <v>0</v>
      </c>
      <c r="AE16" s="74">
        <f t="shared" si="17"/>
        <v>0</v>
      </c>
      <c r="AF16" s="74">
        <f t="shared" si="17"/>
        <v>0</v>
      </c>
      <c r="AG16" s="74">
        <f t="shared" si="17"/>
        <v>0</v>
      </c>
      <c r="AH16" s="60"/>
      <c r="AI16" s="23"/>
    </row>
    <row r="17" spans="1:35" s="21" customFormat="1" ht="37.5" customHeight="1" x14ac:dyDescent="0.25">
      <c r="A17" s="540"/>
      <c r="B17" s="599"/>
      <c r="C17" s="124" t="s">
        <v>21</v>
      </c>
      <c r="D17" s="74">
        <f>SUM(J17,L17,N17,P17,R17,T17,V17,X17,Z17,AB17,AD17,AF17)</f>
        <v>296395.32899999997</v>
      </c>
      <c r="E17" s="74">
        <f>J17</f>
        <v>31811.475999999999</v>
      </c>
      <c r="F17" s="74">
        <f>G17</f>
        <v>195433.98</v>
      </c>
      <c r="G17" s="74">
        <f>SUM(K17,M17,O17,Q17,S17,U17,W17,Y17,AA17,AC17,AE17,AG17)</f>
        <v>195433.98</v>
      </c>
      <c r="H17" s="74">
        <f t="shared" si="13"/>
        <v>65.936929795543449</v>
      </c>
      <c r="I17" s="74">
        <f t="shared" si="14"/>
        <v>614.35055701282147</v>
      </c>
      <c r="J17" s="67">
        <f t="shared" ref="J17:AG17" si="18">J22+J57</f>
        <v>31811.475999999999</v>
      </c>
      <c r="K17" s="67">
        <f t="shared" si="18"/>
        <v>8284.91</v>
      </c>
      <c r="L17" s="67">
        <f t="shared" si="18"/>
        <v>26143.170999999998</v>
      </c>
      <c r="M17" s="67">
        <f t="shared" si="18"/>
        <v>19526.420000000002</v>
      </c>
      <c r="N17" s="67">
        <f t="shared" si="18"/>
        <v>21937.07</v>
      </c>
      <c r="O17" s="67">
        <f t="shared" si="18"/>
        <v>20695.099999999999</v>
      </c>
      <c r="P17" s="67">
        <f t="shared" si="18"/>
        <v>41860.023000000001</v>
      </c>
      <c r="Q17" s="67">
        <f t="shared" si="18"/>
        <v>38236.300000000003</v>
      </c>
      <c r="R17" s="67">
        <f t="shared" si="18"/>
        <v>21901.85</v>
      </c>
      <c r="S17" s="67">
        <f t="shared" si="18"/>
        <v>26509.5</v>
      </c>
      <c r="T17" s="67">
        <f t="shared" si="18"/>
        <v>34706.478000000003</v>
      </c>
      <c r="U17" s="67">
        <f t="shared" si="18"/>
        <v>35625.620000000003</v>
      </c>
      <c r="V17" s="67">
        <f t="shared" si="18"/>
        <v>22726.161999999997</v>
      </c>
      <c r="W17" s="67">
        <f t="shared" si="18"/>
        <v>25931.200000000001</v>
      </c>
      <c r="X17" s="67">
        <f t="shared" si="18"/>
        <v>18214.549999999996</v>
      </c>
      <c r="Y17" s="67">
        <f t="shared" si="18"/>
        <v>20624.93</v>
      </c>
      <c r="Z17" s="67">
        <f t="shared" si="18"/>
        <v>17705.715999999997</v>
      </c>
      <c r="AA17" s="67">
        <f t="shared" si="18"/>
        <v>0</v>
      </c>
      <c r="AB17" s="67">
        <f t="shared" si="18"/>
        <v>17591.884999999998</v>
      </c>
      <c r="AC17" s="67">
        <f t="shared" si="18"/>
        <v>0</v>
      </c>
      <c r="AD17" s="67">
        <f t="shared" si="18"/>
        <v>16667.008999999998</v>
      </c>
      <c r="AE17" s="67">
        <f t="shared" si="18"/>
        <v>0</v>
      </c>
      <c r="AF17" s="67">
        <f t="shared" si="18"/>
        <v>25129.939000000002</v>
      </c>
      <c r="AG17" s="67">
        <f t="shared" si="18"/>
        <v>0</v>
      </c>
      <c r="AH17" s="60"/>
      <c r="AI17" s="23"/>
    </row>
    <row r="18" spans="1:35" s="22" customFormat="1" ht="46.5" customHeight="1" x14ac:dyDescent="0.25">
      <c r="A18" s="541"/>
      <c r="B18" s="579"/>
      <c r="C18" s="124" t="s">
        <v>276</v>
      </c>
      <c r="D18" s="74">
        <f>SUM(J18,L18,N18,P18,R18,T18,V18,X18,Z18,AB18,AD18,AF18)</f>
        <v>40455.602000000006</v>
      </c>
      <c r="E18" s="74">
        <f>J18</f>
        <v>4682.8440000000001</v>
      </c>
      <c r="F18" s="74">
        <f>G18</f>
        <v>0</v>
      </c>
      <c r="G18" s="74">
        <f>SUM(K18,M18,O18,Q18,S18,U18,W18,Y18,AA18,AC18,AE18,AG18)</f>
        <v>0</v>
      </c>
      <c r="H18" s="74">
        <f t="shared" si="13"/>
        <v>0</v>
      </c>
      <c r="I18" s="74">
        <f t="shared" si="14"/>
        <v>0</v>
      </c>
      <c r="J18" s="67">
        <f t="shared" ref="J18:AG18" si="19">J23+J58</f>
        <v>4682.8440000000001</v>
      </c>
      <c r="K18" s="67">
        <f t="shared" si="19"/>
        <v>0</v>
      </c>
      <c r="L18" s="67">
        <f t="shared" si="19"/>
        <v>4649.72</v>
      </c>
      <c r="M18" s="67">
        <f t="shared" si="19"/>
        <v>0</v>
      </c>
      <c r="N18" s="67">
        <f t="shared" si="19"/>
        <v>5374.1049999999996</v>
      </c>
      <c r="O18" s="67">
        <f t="shared" si="19"/>
        <v>0</v>
      </c>
      <c r="P18" s="67">
        <f t="shared" si="19"/>
        <v>3560.194</v>
      </c>
      <c r="Q18" s="67">
        <f t="shared" si="19"/>
        <v>0</v>
      </c>
      <c r="R18" s="67">
        <f t="shared" si="19"/>
        <v>4088.88</v>
      </c>
      <c r="S18" s="67">
        <f t="shared" si="19"/>
        <v>0</v>
      </c>
      <c r="T18" s="67">
        <f t="shared" si="19"/>
        <v>1105.4549999999999</v>
      </c>
      <c r="U18" s="67">
        <f t="shared" si="19"/>
        <v>0</v>
      </c>
      <c r="V18" s="67">
        <f t="shared" si="19"/>
        <v>8.84</v>
      </c>
      <c r="W18" s="67">
        <f t="shared" si="19"/>
        <v>0</v>
      </c>
      <c r="X18" s="67">
        <f t="shared" si="19"/>
        <v>8.84</v>
      </c>
      <c r="Y18" s="67">
        <f t="shared" si="19"/>
        <v>0</v>
      </c>
      <c r="Z18" s="67">
        <f t="shared" si="19"/>
        <v>4279.88</v>
      </c>
      <c r="AA18" s="67">
        <f t="shared" si="19"/>
        <v>0</v>
      </c>
      <c r="AB18" s="67">
        <f t="shared" si="19"/>
        <v>4189.268</v>
      </c>
      <c r="AC18" s="67">
        <f t="shared" si="19"/>
        <v>0</v>
      </c>
      <c r="AD18" s="67">
        <f t="shared" si="19"/>
        <v>3909.7559999999999</v>
      </c>
      <c r="AE18" s="67">
        <f t="shared" si="19"/>
        <v>0</v>
      </c>
      <c r="AF18" s="67">
        <f t="shared" si="19"/>
        <v>4597.82</v>
      </c>
      <c r="AG18" s="67">
        <f t="shared" si="19"/>
        <v>0</v>
      </c>
      <c r="AH18" s="64"/>
      <c r="AI18" s="20"/>
    </row>
    <row r="19" spans="1:35" s="25" customFormat="1" ht="21" customHeight="1" x14ac:dyDescent="0.25">
      <c r="A19" s="539" t="s">
        <v>277</v>
      </c>
      <c r="B19" s="575" t="s">
        <v>278</v>
      </c>
      <c r="C19" s="123" t="s">
        <v>20</v>
      </c>
      <c r="D19" s="70">
        <f>D20+D21+D22+D23</f>
        <v>336164.23100000003</v>
      </c>
      <c r="E19" s="70">
        <f>E20+E21+E22+E23</f>
        <v>33002.92</v>
      </c>
      <c r="F19" s="70">
        <f>F20+F21+F22+F23</f>
        <v>195954.69</v>
      </c>
      <c r="G19" s="70">
        <f>G20+G21+G22+G23</f>
        <v>195954.69</v>
      </c>
      <c r="H19" s="70">
        <f t="shared" si="13"/>
        <v>58.29135640549454</v>
      </c>
      <c r="I19" s="70">
        <f t="shared" si="14"/>
        <v>593.74955306984964</v>
      </c>
      <c r="J19" s="70">
        <f t="shared" ref="J19:AF19" si="20">J20+J21+J22+J23</f>
        <v>33002.92</v>
      </c>
      <c r="K19" s="70">
        <f t="shared" si="20"/>
        <v>8284.91</v>
      </c>
      <c r="L19" s="70">
        <f t="shared" si="20"/>
        <v>30792.891</v>
      </c>
      <c r="M19" s="70">
        <f t="shared" si="20"/>
        <v>19526.420000000002</v>
      </c>
      <c r="N19" s="70">
        <f t="shared" si="20"/>
        <v>27311.174999999999</v>
      </c>
      <c r="O19" s="70">
        <f t="shared" si="20"/>
        <v>20695.099999999999</v>
      </c>
      <c r="P19" s="70">
        <f t="shared" si="20"/>
        <v>45420.217000000004</v>
      </c>
      <c r="Q19" s="70">
        <f t="shared" si="20"/>
        <v>38236.300000000003</v>
      </c>
      <c r="R19" s="70">
        <f t="shared" si="20"/>
        <v>28795.43</v>
      </c>
      <c r="S19" s="70">
        <f t="shared" si="20"/>
        <v>26899.49</v>
      </c>
      <c r="T19" s="70">
        <f t="shared" si="20"/>
        <v>35811.933000000005</v>
      </c>
      <c r="U19" s="70">
        <f t="shared" si="20"/>
        <v>35625.620000000003</v>
      </c>
      <c r="V19" s="70">
        <f t="shared" si="20"/>
        <v>22735.001999999997</v>
      </c>
      <c r="W19" s="70">
        <f t="shared" si="20"/>
        <v>26040.16</v>
      </c>
      <c r="X19" s="70">
        <f t="shared" si="20"/>
        <v>18223.389999999996</v>
      </c>
      <c r="Y19" s="70">
        <f t="shared" si="20"/>
        <v>20646.689999999999</v>
      </c>
      <c r="Z19" s="70">
        <f t="shared" si="20"/>
        <v>21985.595999999998</v>
      </c>
      <c r="AA19" s="70">
        <f t="shared" si="20"/>
        <v>0</v>
      </c>
      <c r="AB19" s="70">
        <f t="shared" si="20"/>
        <v>21781.152999999998</v>
      </c>
      <c r="AC19" s="70">
        <f t="shared" si="20"/>
        <v>0</v>
      </c>
      <c r="AD19" s="70">
        <f t="shared" si="20"/>
        <v>20576.764999999999</v>
      </c>
      <c r="AE19" s="70">
        <f t="shared" si="20"/>
        <v>0</v>
      </c>
      <c r="AF19" s="70">
        <f t="shared" si="20"/>
        <v>29727.759000000002</v>
      </c>
      <c r="AG19" s="70">
        <f>AG20+AG21+AG22+AG23</f>
        <v>0</v>
      </c>
      <c r="AH19" s="72"/>
      <c r="AI19" s="160"/>
    </row>
    <row r="20" spans="1:35" s="21" customFormat="1" ht="23.25" hidden="1" customHeight="1" x14ac:dyDescent="0.25">
      <c r="A20" s="540"/>
      <c r="B20" s="576"/>
      <c r="C20" s="124" t="s">
        <v>52</v>
      </c>
      <c r="D20" s="74">
        <f>SUM(J20,L20,N20,P20,R20,T20,V20,X20,Z20,AB20,AD20,AF20)</f>
        <v>0</v>
      </c>
      <c r="E20" s="74">
        <f>J20</f>
        <v>0</v>
      </c>
      <c r="F20" s="74">
        <f>G20</f>
        <v>0</v>
      </c>
      <c r="G20" s="74">
        <f>SUM(K20,M20,O20,Q20,S20,U20,W20,Y20,AA20,AC20,AE20,AG20)</f>
        <v>0</v>
      </c>
      <c r="H20" s="74">
        <f t="shared" si="13"/>
        <v>0</v>
      </c>
      <c r="I20" s="74">
        <f t="shared" si="14"/>
        <v>0</v>
      </c>
      <c r="J20" s="74">
        <v>0</v>
      </c>
      <c r="K20" s="74">
        <v>0</v>
      </c>
      <c r="L20" s="74">
        <v>0</v>
      </c>
      <c r="M20" s="74">
        <v>0</v>
      </c>
      <c r="N20" s="74">
        <v>0</v>
      </c>
      <c r="O20" s="74">
        <v>0</v>
      </c>
      <c r="P20" s="74">
        <v>0</v>
      </c>
      <c r="Q20" s="74">
        <v>0</v>
      </c>
      <c r="R20" s="74">
        <v>0</v>
      </c>
      <c r="S20" s="74">
        <v>0</v>
      </c>
      <c r="T20" s="74">
        <v>0</v>
      </c>
      <c r="U20" s="74">
        <v>0</v>
      </c>
      <c r="V20" s="74">
        <v>0</v>
      </c>
      <c r="W20" s="74">
        <v>0</v>
      </c>
      <c r="X20" s="74">
        <v>0</v>
      </c>
      <c r="Y20" s="74">
        <v>0</v>
      </c>
      <c r="Z20" s="74">
        <v>0</v>
      </c>
      <c r="AA20" s="74">
        <v>0</v>
      </c>
      <c r="AB20" s="74">
        <v>0</v>
      </c>
      <c r="AC20" s="74">
        <v>0</v>
      </c>
      <c r="AD20" s="74">
        <v>0</v>
      </c>
      <c r="AE20" s="74">
        <v>0</v>
      </c>
      <c r="AF20" s="74">
        <v>0</v>
      </c>
      <c r="AG20" s="74">
        <f>AG25+AG30+AG35+AG40+AG45+AG50</f>
        <v>0</v>
      </c>
      <c r="AH20" s="60"/>
      <c r="AI20" s="23"/>
    </row>
    <row r="21" spans="1:35" s="131" customFormat="1" ht="36.75" customHeight="1" x14ac:dyDescent="0.25">
      <c r="A21" s="540"/>
      <c r="B21" s="576"/>
      <c r="C21" s="124" t="s">
        <v>22</v>
      </c>
      <c r="D21" s="74">
        <f>SUM(J21,L21,N21,P21,R21,T21,V21,X21,Z21,AB21,AD21,AF21)</f>
        <v>2804.7</v>
      </c>
      <c r="E21" s="74">
        <f>J21</f>
        <v>0</v>
      </c>
      <c r="F21" s="74">
        <f>G21</f>
        <v>520.71</v>
      </c>
      <c r="G21" s="74">
        <f>SUM(K21,M21,O21,Q21,S21,U21,W21,Y21,AA21,AC21,AE21,AG21)</f>
        <v>520.71</v>
      </c>
      <c r="H21" s="74">
        <f t="shared" si="13"/>
        <v>18.565621991656865</v>
      </c>
      <c r="I21" s="74">
        <f t="shared" si="14"/>
        <v>0</v>
      </c>
      <c r="J21" s="67">
        <f t="shared" ref="J21:AF21" si="21">J26+J31+J36+J41+J46+J51</f>
        <v>0</v>
      </c>
      <c r="K21" s="67">
        <f t="shared" si="21"/>
        <v>0</v>
      </c>
      <c r="L21" s="67">
        <f t="shared" si="21"/>
        <v>0</v>
      </c>
      <c r="M21" s="67">
        <f t="shared" si="21"/>
        <v>0</v>
      </c>
      <c r="N21" s="67">
        <f t="shared" si="21"/>
        <v>0</v>
      </c>
      <c r="O21" s="67">
        <f t="shared" si="21"/>
        <v>0</v>
      </c>
      <c r="P21" s="67">
        <f t="shared" si="21"/>
        <v>0</v>
      </c>
      <c r="Q21" s="67">
        <f t="shared" si="21"/>
        <v>0</v>
      </c>
      <c r="R21" s="67">
        <f t="shared" si="21"/>
        <v>2804.7</v>
      </c>
      <c r="S21" s="67">
        <f t="shared" si="21"/>
        <v>389.99</v>
      </c>
      <c r="T21" s="67">
        <f t="shared" si="21"/>
        <v>0</v>
      </c>
      <c r="U21" s="67">
        <f t="shared" si="21"/>
        <v>0</v>
      </c>
      <c r="V21" s="67">
        <f t="shared" si="21"/>
        <v>0</v>
      </c>
      <c r="W21" s="67">
        <f t="shared" si="21"/>
        <v>108.96</v>
      </c>
      <c r="X21" s="67">
        <f t="shared" si="21"/>
        <v>0</v>
      </c>
      <c r="Y21" s="67">
        <f t="shared" si="21"/>
        <v>21.76</v>
      </c>
      <c r="Z21" s="67">
        <f t="shared" si="21"/>
        <v>0</v>
      </c>
      <c r="AA21" s="67">
        <f t="shared" si="21"/>
        <v>0</v>
      </c>
      <c r="AB21" s="67">
        <f t="shared" si="21"/>
        <v>0</v>
      </c>
      <c r="AC21" s="67">
        <f t="shared" si="21"/>
        <v>0</v>
      </c>
      <c r="AD21" s="67">
        <f t="shared" si="21"/>
        <v>0</v>
      </c>
      <c r="AE21" s="67">
        <f t="shared" si="21"/>
        <v>0</v>
      </c>
      <c r="AF21" s="67">
        <f t="shared" si="21"/>
        <v>0</v>
      </c>
      <c r="AG21" s="67">
        <f>AG26+AG31+AG36+AG41+AG46+AG51</f>
        <v>0</v>
      </c>
      <c r="AH21" s="48"/>
      <c r="AI21" s="157"/>
    </row>
    <row r="22" spans="1:35" s="131" customFormat="1" ht="36.75" customHeight="1" x14ac:dyDescent="0.25">
      <c r="A22" s="540"/>
      <c r="B22" s="576"/>
      <c r="C22" s="124" t="s">
        <v>21</v>
      </c>
      <c r="D22" s="74">
        <f>SUM(J22,L22,N22,P22,R22,T22,V22,X22,Z22,AB22,AD22,AF22)</f>
        <v>292903.929</v>
      </c>
      <c r="E22" s="74">
        <f>J22</f>
        <v>28320.075999999997</v>
      </c>
      <c r="F22" s="74">
        <f>G22</f>
        <v>195433.98</v>
      </c>
      <c r="G22" s="74">
        <f>SUM(K22,M22,O22,Q22,S22,U22,W22,Y22,AA22,AC22,AE22,AG22)</f>
        <v>195433.98</v>
      </c>
      <c r="H22" s="74">
        <f t="shared" si="13"/>
        <v>66.722894659429443</v>
      </c>
      <c r="I22" s="74">
        <f t="shared" si="14"/>
        <v>690.08988535200274</v>
      </c>
      <c r="J22" s="67">
        <f t="shared" ref="J22:AF22" si="22">J27+J32+J37+J42+J47+J52</f>
        <v>28320.075999999997</v>
      </c>
      <c r="K22" s="67">
        <f t="shared" si="22"/>
        <v>8284.91</v>
      </c>
      <c r="L22" s="67">
        <f t="shared" si="22"/>
        <v>26143.170999999998</v>
      </c>
      <c r="M22" s="67">
        <f t="shared" si="22"/>
        <v>19526.420000000002</v>
      </c>
      <c r="N22" s="67">
        <f t="shared" si="22"/>
        <v>21937.07</v>
      </c>
      <c r="O22" s="67">
        <f t="shared" si="22"/>
        <v>20695.099999999999</v>
      </c>
      <c r="P22" s="67">
        <f t="shared" si="22"/>
        <v>41860.023000000001</v>
      </c>
      <c r="Q22" s="67">
        <f t="shared" si="22"/>
        <v>38236.300000000003</v>
      </c>
      <c r="R22" s="67">
        <f t="shared" si="22"/>
        <v>21901.85</v>
      </c>
      <c r="S22" s="67">
        <f t="shared" si="22"/>
        <v>26509.5</v>
      </c>
      <c r="T22" s="67">
        <f t="shared" si="22"/>
        <v>34706.478000000003</v>
      </c>
      <c r="U22" s="67">
        <f t="shared" si="22"/>
        <v>35625.620000000003</v>
      </c>
      <c r="V22" s="67">
        <f t="shared" si="22"/>
        <v>22726.161999999997</v>
      </c>
      <c r="W22" s="67">
        <f t="shared" si="22"/>
        <v>25931.200000000001</v>
      </c>
      <c r="X22" s="67">
        <f t="shared" si="22"/>
        <v>18214.549999999996</v>
      </c>
      <c r="Y22" s="67">
        <f t="shared" si="22"/>
        <v>20624.93</v>
      </c>
      <c r="Z22" s="67">
        <f t="shared" si="22"/>
        <v>17705.715999999997</v>
      </c>
      <c r="AA22" s="67">
        <f t="shared" si="22"/>
        <v>0</v>
      </c>
      <c r="AB22" s="67">
        <f t="shared" si="22"/>
        <v>17591.884999999998</v>
      </c>
      <c r="AC22" s="67">
        <f t="shared" si="22"/>
        <v>0</v>
      </c>
      <c r="AD22" s="67">
        <f t="shared" si="22"/>
        <v>16667.008999999998</v>
      </c>
      <c r="AE22" s="67">
        <f t="shared" si="22"/>
        <v>0</v>
      </c>
      <c r="AF22" s="67">
        <f t="shared" si="22"/>
        <v>25129.939000000002</v>
      </c>
      <c r="AG22" s="67">
        <f>AG27+AG32+AG37+AG42+AG47+AG52</f>
        <v>0</v>
      </c>
      <c r="AH22" s="48"/>
      <c r="AI22" s="157"/>
    </row>
    <row r="23" spans="1:35" s="22" customFormat="1" ht="65.25" customHeight="1" x14ac:dyDescent="0.25">
      <c r="A23" s="541"/>
      <c r="B23" s="577"/>
      <c r="C23" s="124" t="s">
        <v>276</v>
      </c>
      <c r="D23" s="74">
        <f>SUM(J23,L23,N23,P23,R23,T23,V23,X23,Z23,AB23,AD23,AF23)</f>
        <v>40455.602000000006</v>
      </c>
      <c r="E23" s="74">
        <f>J23</f>
        <v>4682.8440000000001</v>
      </c>
      <c r="F23" s="74">
        <f>G23</f>
        <v>0</v>
      </c>
      <c r="G23" s="74">
        <f>SUM(K23,M23,O23,Q23,S23,U23,W23,Y23,AA23,AC23,AE23,AG23)</f>
        <v>0</v>
      </c>
      <c r="H23" s="74">
        <f t="shared" si="13"/>
        <v>0</v>
      </c>
      <c r="I23" s="74">
        <f t="shared" si="14"/>
        <v>0</v>
      </c>
      <c r="J23" s="67">
        <f t="shared" ref="J23:AF23" si="23">J28+J33+J38+J43+J48+J53</f>
        <v>4682.8440000000001</v>
      </c>
      <c r="K23" s="67">
        <f t="shared" si="23"/>
        <v>0</v>
      </c>
      <c r="L23" s="67">
        <f t="shared" si="23"/>
        <v>4649.72</v>
      </c>
      <c r="M23" s="67">
        <f t="shared" si="23"/>
        <v>0</v>
      </c>
      <c r="N23" s="67">
        <f t="shared" si="23"/>
        <v>5374.1049999999996</v>
      </c>
      <c r="O23" s="67">
        <f t="shared" si="23"/>
        <v>0</v>
      </c>
      <c r="P23" s="67">
        <f t="shared" si="23"/>
        <v>3560.194</v>
      </c>
      <c r="Q23" s="67">
        <f t="shared" si="23"/>
        <v>0</v>
      </c>
      <c r="R23" s="67">
        <f t="shared" si="23"/>
        <v>4088.88</v>
      </c>
      <c r="S23" s="67">
        <f t="shared" si="23"/>
        <v>0</v>
      </c>
      <c r="T23" s="67">
        <f t="shared" si="23"/>
        <v>1105.4549999999999</v>
      </c>
      <c r="U23" s="67">
        <f t="shared" si="23"/>
        <v>0</v>
      </c>
      <c r="V23" s="67">
        <f t="shared" si="23"/>
        <v>8.84</v>
      </c>
      <c r="W23" s="67">
        <f t="shared" si="23"/>
        <v>0</v>
      </c>
      <c r="X23" s="67">
        <f t="shared" si="23"/>
        <v>8.84</v>
      </c>
      <c r="Y23" s="67">
        <f t="shared" si="23"/>
        <v>0</v>
      </c>
      <c r="Z23" s="67">
        <f t="shared" si="23"/>
        <v>4279.88</v>
      </c>
      <c r="AA23" s="67">
        <f t="shared" si="23"/>
        <v>0</v>
      </c>
      <c r="AB23" s="67">
        <f t="shared" si="23"/>
        <v>4189.268</v>
      </c>
      <c r="AC23" s="67">
        <f t="shared" si="23"/>
        <v>0</v>
      </c>
      <c r="AD23" s="67">
        <f t="shared" si="23"/>
        <v>3909.7559999999999</v>
      </c>
      <c r="AE23" s="67">
        <f t="shared" si="23"/>
        <v>0</v>
      </c>
      <c r="AF23" s="67">
        <f t="shared" si="23"/>
        <v>4597.82</v>
      </c>
      <c r="AG23" s="67">
        <f>AG28+AG33+AG38+AG43+AG48+AG53</f>
        <v>0</v>
      </c>
      <c r="AH23" s="64"/>
      <c r="AI23" s="20"/>
    </row>
    <row r="24" spans="1:35" s="21" customFormat="1" ht="32.25" customHeight="1" x14ac:dyDescent="0.25">
      <c r="A24" s="539"/>
      <c r="B24" s="600" t="s">
        <v>293</v>
      </c>
      <c r="C24" s="123" t="s">
        <v>20</v>
      </c>
      <c r="D24" s="70">
        <f>D25+D26+D27+D28</f>
        <v>20521.998</v>
      </c>
      <c r="E24" s="70">
        <f>E25+E26+E27+E28</f>
        <v>138.387</v>
      </c>
      <c r="F24" s="70">
        <f>F25+F26+F27+F28</f>
        <v>19189.77</v>
      </c>
      <c r="G24" s="70">
        <f>G25+G26+G27+G28</f>
        <v>19189.77</v>
      </c>
      <c r="H24" s="70">
        <f t="shared" si="13"/>
        <v>93.50829290598314</v>
      </c>
      <c r="I24" s="70">
        <f t="shared" si="14"/>
        <v>13866.743263456829</v>
      </c>
      <c r="J24" s="70">
        <f t="shared" ref="J24:AF24" si="24">J25+J26+J27+J28</f>
        <v>138.387</v>
      </c>
      <c r="K24" s="70">
        <f t="shared" si="24"/>
        <v>19.34</v>
      </c>
      <c r="L24" s="70">
        <f t="shared" si="24"/>
        <v>741.22</v>
      </c>
      <c r="M24" s="70">
        <f t="shared" si="24"/>
        <v>113.09</v>
      </c>
      <c r="N24" s="70">
        <f t="shared" si="24"/>
        <v>276.24599999999998</v>
      </c>
      <c r="O24" s="70">
        <f t="shared" si="24"/>
        <v>114.64</v>
      </c>
      <c r="P24" s="70">
        <f t="shared" si="24"/>
        <v>18248.64</v>
      </c>
      <c r="Q24" s="70">
        <f t="shared" si="24"/>
        <v>18292.32</v>
      </c>
      <c r="R24" s="70">
        <f t="shared" si="24"/>
        <v>94.355000000000004</v>
      </c>
      <c r="S24" s="70">
        <f t="shared" si="24"/>
        <v>291.63</v>
      </c>
      <c r="T24" s="70">
        <f t="shared" si="24"/>
        <v>0</v>
      </c>
      <c r="U24" s="70">
        <f t="shared" si="24"/>
        <v>268.76</v>
      </c>
      <c r="V24" s="70">
        <f t="shared" si="24"/>
        <v>0</v>
      </c>
      <c r="W24" s="70">
        <f t="shared" si="24"/>
        <v>89.99</v>
      </c>
      <c r="X24" s="70">
        <f t="shared" si="24"/>
        <v>165.60499999999999</v>
      </c>
      <c r="Y24" s="70">
        <f t="shared" si="24"/>
        <v>0</v>
      </c>
      <c r="Z24" s="70">
        <f t="shared" si="24"/>
        <v>163.01499999999999</v>
      </c>
      <c r="AA24" s="70">
        <f t="shared" si="24"/>
        <v>0</v>
      </c>
      <c r="AB24" s="70">
        <f t="shared" si="24"/>
        <v>504.38099999999997</v>
      </c>
      <c r="AC24" s="70">
        <f t="shared" si="24"/>
        <v>0</v>
      </c>
      <c r="AD24" s="70">
        <f t="shared" si="24"/>
        <v>190.149</v>
      </c>
      <c r="AE24" s="70">
        <f t="shared" si="24"/>
        <v>0</v>
      </c>
      <c r="AF24" s="70">
        <f t="shared" si="24"/>
        <v>0</v>
      </c>
      <c r="AG24" s="70">
        <f>AG25+AG26+AG27+AG28</f>
        <v>0</v>
      </c>
      <c r="AH24" s="60"/>
      <c r="AI24" s="23"/>
    </row>
    <row r="25" spans="1:35" s="21" customFormat="1" ht="36" hidden="1" customHeight="1" x14ac:dyDescent="0.25">
      <c r="A25" s="540"/>
      <c r="B25" s="601"/>
      <c r="C25" s="124" t="s">
        <v>52</v>
      </c>
      <c r="D25" s="74">
        <f>SUM(J25,L25,N25,P25,R25,T25,V25,X25,Z25,AB25,AD25,AF25)</f>
        <v>0</v>
      </c>
      <c r="E25" s="74">
        <f>J25</f>
        <v>0</v>
      </c>
      <c r="F25" s="74">
        <f>G25</f>
        <v>0</v>
      </c>
      <c r="G25" s="74">
        <f>SUM(K25,M25,O25,Q25,S25,U25,W25,Y25,AA25,AC25,AE25,AG25)</f>
        <v>0</v>
      </c>
      <c r="H25" s="74">
        <f t="shared" si="13"/>
        <v>0</v>
      </c>
      <c r="I25" s="74">
        <f t="shared" si="14"/>
        <v>0</v>
      </c>
      <c r="J25" s="74">
        <v>0</v>
      </c>
      <c r="K25" s="74">
        <v>0</v>
      </c>
      <c r="L25" s="74">
        <v>0</v>
      </c>
      <c r="M25" s="74">
        <v>0</v>
      </c>
      <c r="N25" s="74">
        <v>0</v>
      </c>
      <c r="O25" s="74">
        <v>0</v>
      </c>
      <c r="P25" s="74">
        <v>0</v>
      </c>
      <c r="Q25" s="74">
        <v>0</v>
      </c>
      <c r="R25" s="74">
        <v>0</v>
      </c>
      <c r="S25" s="74">
        <v>0</v>
      </c>
      <c r="T25" s="74">
        <v>0</v>
      </c>
      <c r="U25" s="74">
        <v>0</v>
      </c>
      <c r="V25" s="74">
        <v>0</v>
      </c>
      <c r="W25" s="74">
        <v>0</v>
      </c>
      <c r="X25" s="74">
        <v>0</v>
      </c>
      <c r="Y25" s="74">
        <v>0</v>
      </c>
      <c r="Z25" s="74">
        <v>0</v>
      </c>
      <c r="AA25" s="74">
        <v>0</v>
      </c>
      <c r="AB25" s="74">
        <v>0</v>
      </c>
      <c r="AC25" s="74">
        <v>0</v>
      </c>
      <c r="AD25" s="74">
        <v>0</v>
      </c>
      <c r="AE25" s="74">
        <v>0</v>
      </c>
      <c r="AF25" s="74">
        <v>0</v>
      </c>
      <c r="AG25" s="74">
        <v>0</v>
      </c>
      <c r="AH25" s="60"/>
      <c r="AI25" s="23"/>
    </row>
    <row r="26" spans="1:35" s="21" customFormat="1" ht="37.5" hidden="1" customHeight="1" x14ac:dyDescent="0.25">
      <c r="A26" s="540"/>
      <c r="B26" s="601"/>
      <c r="C26" s="124" t="s">
        <v>22</v>
      </c>
      <c r="D26" s="74">
        <f>SUM(J26,L26,N26,P26,R26,T26,V26,X26,Z26,AB26,AD26,AF26)</f>
        <v>0</v>
      </c>
      <c r="E26" s="74">
        <f>J26</f>
        <v>0</v>
      </c>
      <c r="F26" s="74">
        <f>G26</f>
        <v>0</v>
      </c>
      <c r="G26" s="74">
        <f>SUM(K26,M26,O26,Q26,S26,U26,W26,Y26,AA26,AC26,AE26,AG26)</f>
        <v>0</v>
      </c>
      <c r="H26" s="74">
        <f t="shared" si="13"/>
        <v>0</v>
      </c>
      <c r="I26" s="74">
        <f t="shared" si="14"/>
        <v>0</v>
      </c>
      <c r="J26" s="67">
        <v>0</v>
      </c>
      <c r="K26" s="67">
        <v>0</v>
      </c>
      <c r="L26" s="67">
        <v>0</v>
      </c>
      <c r="M26" s="67">
        <v>0</v>
      </c>
      <c r="N26" s="67">
        <v>0</v>
      </c>
      <c r="O26" s="67">
        <v>0</v>
      </c>
      <c r="P26" s="67">
        <v>0</v>
      </c>
      <c r="Q26" s="67">
        <v>0</v>
      </c>
      <c r="R26" s="67">
        <v>0</v>
      </c>
      <c r="S26" s="67">
        <v>0</v>
      </c>
      <c r="T26" s="67">
        <v>0</v>
      </c>
      <c r="U26" s="67">
        <v>0</v>
      </c>
      <c r="V26" s="67">
        <v>0</v>
      </c>
      <c r="W26" s="67">
        <v>0</v>
      </c>
      <c r="X26" s="67">
        <v>0</v>
      </c>
      <c r="Y26" s="67">
        <v>0</v>
      </c>
      <c r="Z26" s="67">
        <v>0</v>
      </c>
      <c r="AA26" s="67">
        <v>0</v>
      </c>
      <c r="AB26" s="67">
        <v>0</v>
      </c>
      <c r="AC26" s="67">
        <v>0</v>
      </c>
      <c r="AD26" s="67">
        <v>0</v>
      </c>
      <c r="AE26" s="67">
        <v>0</v>
      </c>
      <c r="AF26" s="67">
        <v>0</v>
      </c>
      <c r="AG26" s="67">
        <v>0</v>
      </c>
      <c r="AH26" s="60"/>
      <c r="AI26" s="23"/>
    </row>
    <row r="27" spans="1:35" s="22" customFormat="1" ht="48.75" customHeight="1" x14ac:dyDescent="0.25">
      <c r="A27" s="540"/>
      <c r="B27" s="601"/>
      <c r="C27" s="124" t="s">
        <v>21</v>
      </c>
      <c r="D27" s="74">
        <f>SUM(J27,L27,N27,P27,R27,T27,V27,X27,Z27,AB27,AD27,AF27)</f>
        <v>20521.998</v>
      </c>
      <c r="E27" s="74">
        <f>J27</f>
        <v>138.387</v>
      </c>
      <c r="F27" s="74">
        <f>G27</f>
        <v>19189.77</v>
      </c>
      <c r="G27" s="74">
        <f>SUM(K27,M27,O27,Q27,S27,U27,W27,Y27,AA27,AC27,AE27,AG27)</f>
        <v>19189.77</v>
      </c>
      <c r="H27" s="74">
        <f t="shared" si="13"/>
        <v>93.50829290598314</v>
      </c>
      <c r="I27" s="74">
        <f>IFERROR(G27/E27*100,0)</f>
        <v>13866.743263456829</v>
      </c>
      <c r="J27" s="67">
        <v>138.387</v>
      </c>
      <c r="K27" s="67">
        <v>19.34</v>
      </c>
      <c r="L27" s="67">
        <v>741.22</v>
      </c>
      <c r="M27" s="263">
        <v>113.09</v>
      </c>
      <c r="N27" s="67">
        <v>276.24599999999998</v>
      </c>
      <c r="O27" s="263">
        <v>114.64</v>
      </c>
      <c r="P27" s="67">
        <f>248.64+18000</f>
        <v>18248.64</v>
      </c>
      <c r="Q27" s="67">
        <v>18292.32</v>
      </c>
      <c r="R27" s="67">
        <v>94.355000000000004</v>
      </c>
      <c r="S27" s="67">
        <v>291.63</v>
      </c>
      <c r="T27" s="67">
        <v>0</v>
      </c>
      <c r="U27" s="67">
        <v>268.76</v>
      </c>
      <c r="V27" s="67">
        <v>0</v>
      </c>
      <c r="W27" s="67">
        <v>89.99</v>
      </c>
      <c r="X27" s="67">
        <v>165.60499999999999</v>
      </c>
      <c r="Y27" s="67">
        <v>0</v>
      </c>
      <c r="Z27" s="67">
        <v>163.01499999999999</v>
      </c>
      <c r="AA27" s="67">
        <v>0</v>
      </c>
      <c r="AB27" s="67">
        <v>504.38099999999997</v>
      </c>
      <c r="AC27" s="67">
        <v>0</v>
      </c>
      <c r="AD27" s="67">
        <v>190.149</v>
      </c>
      <c r="AE27" s="67">
        <v>0</v>
      </c>
      <c r="AF27" s="67">
        <v>0</v>
      </c>
      <c r="AG27" s="67">
        <v>0</v>
      </c>
      <c r="AH27" s="64"/>
      <c r="AI27" s="20"/>
    </row>
    <row r="28" spans="1:35" s="22" customFormat="1" ht="65.25" hidden="1" customHeight="1" x14ac:dyDescent="0.25">
      <c r="A28" s="606"/>
      <c r="B28" s="605"/>
      <c r="C28" s="124" t="s">
        <v>276</v>
      </c>
      <c r="D28" s="74">
        <f>SUM(J28,L28,N28,P28,R28,T28,V28,X28,Z28,AB28,AD28,AF28)</f>
        <v>0</v>
      </c>
      <c r="E28" s="74">
        <f>J28</f>
        <v>0</v>
      </c>
      <c r="F28" s="74">
        <f>G28</f>
        <v>0</v>
      </c>
      <c r="G28" s="74">
        <f>SUM(K28,M28,O28,Q28,S28,U28,W28,Y28,AA28,AC28,AE28,AG28)</f>
        <v>0</v>
      </c>
      <c r="H28" s="74">
        <f t="shared" si="13"/>
        <v>0</v>
      </c>
      <c r="I28" s="74">
        <f t="shared" si="14"/>
        <v>0</v>
      </c>
      <c r="J28" s="67">
        <v>0</v>
      </c>
      <c r="K28" s="67">
        <v>0</v>
      </c>
      <c r="L28" s="67">
        <v>0</v>
      </c>
      <c r="M28" s="67">
        <v>0</v>
      </c>
      <c r="N28" s="67">
        <v>0</v>
      </c>
      <c r="O28" s="67">
        <v>0</v>
      </c>
      <c r="P28" s="67">
        <v>0</v>
      </c>
      <c r="Q28" s="67">
        <v>0</v>
      </c>
      <c r="R28" s="67">
        <v>0</v>
      </c>
      <c r="S28" s="67">
        <v>0</v>
      </c>
      <c r="T28" s="67">
        <v>0</v>
      </c>
      <c r="U28" s="67">
        <v>0</v>
      </c>
      <c r="V28" s="67">
        <v>0</v>
      </c>
      <c r="W28" s="67">
        <v>0</v>
      </c>
      <c r="X28" s="67">
        <v>0</v>
      </c>
      <c r="Y28" s="67">
        <v>0</v>
      </c>
      <c r="Z28" s="67">
        <v>0</v>
      </c>
      <c r="AA28" s="67">
        <v>0</v>
      </c>
      <c r="AB28" s="67">
        <v>0</v>
      </c>
      <c r="AC28" s="67">
        <v>0</v>
      </c>
      <c r="AD28" s="67">
        <v>0</v>
      </c>
      <c r="AE28" s="67">
        <v>0</v>
      </c>
      <c r="AF28" s="67">
        <v>0</v>
      </c>
      <c r="AG28" s="67">
        <v>0</v>
      </c>
      <c r="AH28" s="64"/>
      <c r="AI28" s="20"/>
    </row>
    <row r="29" spans="1:35" s="21" customFormat="1" ht="24.75" customHeight="1" x14ac:dyDescent="0.25">
      <c r="A29" s="553"/>
      <c r="B29" s="600" t="s">
        <v>294</v>
      </c>
      <c r="C29" s="123" t="s">
        <v>20</v>
      </c>
      <c r="D29" s="70">
        <f>D30+D31+D32+D33</f>
        <v>302494.07899999997</v>
      </c>
      <c r="E29" s="70">
        <f t="shared" ref="E29:G29" si="25">E30+E31+E32+E33</f>
        <v>32779.167000000001</v>
      </c>
      <c r="F29" s="70">
        <f t="shared" si="25"/>
        <v>169108.12</v>
      </c>
      <c r="G29" s="70">
        <f t="shared" si="25"/>
        <v>169108.12</v>
      </c>
      <c r="H29" s="70">
        <f t="shared" si="13"/>
        <v>55.904604995590681</v>
      </c>
      <c r="I29" s="70">
        <f t="shared" si="14"/>
        <v>515.90121249878007</v>
      </c>
      <c r="J29" s="70">
        <f t="shared" ref="J29:AF29" si="26">J30+J31+J32+J33</f>
        <v>32779.167000000001</v>
      </c>
      <c r="K29" s="70">
        <f t="shared" si="26"/>
        <v>8265.57</v>
      </c>
      <c r="L29" s="70">
        <f t="shared" si="26"/>
        <v>29979.527999999998</v>
      </c>
      <c r="M29" s="70">
        <f t="shared" si="26"/>
        <v>19367.11</v>
      </c>
      <c r="N29" s="70">
        <f t="shared" si="26"/>
        <v>26513.575000000001</v>
      </c>
      <c r="O29" s="70">
        <f t="shared" si="26"/>
        <v>20547.189999999999</v>
      </c>
      <c r="P29" s="70">
        <f t="shared" si="26"/>
        <v>27055.757999999998</v>
      </c>
      <c r="Q29" s="70">
        <f t="shared" si="26"/>
        <v>19859.550000000003</v>
      </c>
      <c r="R29" s="70">
        <f t="shared" si="26"/>
        <v>25370.18</v>
      </c>
      <c r="S29" s="70">
        <f t="shared" si="26"/>
        <v>26164.28</v>
      </c>
      <c r="T29" s="70">
        <f t="shared" si="26"/>
        <v>33529.74</v>
      </c>
      <c r="U29" s="70">
        <f t="shared" si="26"/>
        <v>32503.4</v>
      </c>
      <c r="V29" s="70">
        <f t="shared" si="26"/>
        <v>22237.188999999998</v>
      </c>
      <c r="W29" s="70">
        <f t="shared" si="26"/>
        <v>22654.28</v>
      </c>
      <c r="X29" s="70">
        <f t="shared" si="26"/>
        <v>17548.155999999999</v>
      </c>
      <c r="Y29" s="70">
        <f t="shared" si="26"/>
        <v>19746.740000000002</v>
      </c>
      <c r="Z29" s="70">
        <f t="shared" si="26"/>
        <v>21779.213</v>
      </c>
      <c r="AA29" s="70">
        <f t="shared" si="26"/>
        <v>0</v>
      </c>
      <c r="AB29" s="70">
        <f t="shared" si="26"/>
        <v>21208.429</v>
      </c>
      <c r="AC29" s="70">
        <f t="shared" si="26"/>
        <v>0</v>
      </c>
      <c r="AD29" s="70">
        <f t="shared" si="26"/>
        <v>20351.248</v>
      </c>
      <c r="AE29" s="70">
        <f t="shared" si="26"/>
        <v>0</v>
      </c>
      <c r="AF29" s="70">
        <f t="shared" si="26"/>
        <v>24141.896000000001</v>
      </c>
      <c r="AG29" s="70">
        <f>AG30+AG31+AG32+AG33</f>
        <v>0</v>
      </c>
      <c r="AH29" s="48"/>
      <c r="AI29" s="23"/>
    </row>
    <row r="30" spans="1:35" s="21" customFormat="1" ht="42.75" hidden="1" customHeight="1" x14ac:dyDescent="0.25">
      <c r="A30" s="549"/>
      <c r="B30" s="601"/>
      <c r="C30" s="124" t="s">
        <v>52</v>
      </c>
      <c r="D30" s="74">
        <f>SUM(J30,L30,N30,P30,R30,T30,V30,X30,Z30,AB30,AD30,AF30)</f>
        <v>0</v>
      </c>
      <c r="E30" s="74">
        <f>J30</f>
        <v>0</v>
      </c>
      <c r="F30" s="74">
        <f>G30</f>
        <v>0</v>
      </c>
      <c r="G30" s="74">
        <f>SUM(K30,M30,O30,Q30,S30,U30,W30,Y30,AA30,AC30,AE30,AG30)</f>
        <v>0</v>
      </c>
      <c r="H30" s="74">
        <f t="shared" si="13"/>
        <v>0</v>
      </c>
      <c r="I30" s="74">
        <f t="shared" si="14"/>
        <v>0</v>
      </c>
      <c r="J30" s="74">
        <v>0</v>
      </c>
      <c r="K30" s="74">
        <v>0</v>
      </c>
      <c r="L30" s="74">
        <v>0</v>
      </c>
      <c r="M30" s="74">
        <v>0</v>
      </c>
      <c r="N30" s="74">
        <v>0</v>
      </c>
      <c r="O30" s="74">
        <v>0</v>
      </c>
      <c r="P30" s="74">
        <v>0</v>
      </c>
      <c r="Q30" s="74">
        <v>0</v>
      </c>
      <c r="R30" s="74">
        <v>0</v>
      </c>
      <c r="S30" s="74">
        <v>0</v>
      </c>
      <c r="T30" s="74">
        <v>0</v>
      </c>
      <c r="U30" s="74">
        <v>0</v>
      </c>
      <c r="V30" s="74">
        <v>0</v>
      </c>
      <c r="W30" s="74">
        <v>0</v>
      </c>
      <c r="X30" s="74">
        <v>0</v>
      </c>
      <c r="Y30" s="74">
        <v>0</v>
      </c>
      <c r="Z30" s="74">
        <v>0</v>
      </c>
      <c r="AA30" s="74">
        <v>0</v>
      </c>
      <c r="AB30" s="74">
        <v>0</v>
      </c>
      <c r="AC30" s="74">
        <v>0</v>
      </c>
      <c r="AD30" s="74">
        <v>0</v>
      </c>
      <c r="AE30" s="74">
        <v>0</v>
      </c>
      <c r="AF30" s="74">
        <v>0</v>
      </c>
      <c r="AG30" s="74">
        <v>0</v>
      </c>
      <c r="AH30" s="60"/>
      <c r="AI30" s="23"/>
    </row>
    <row r="31" spans="1:35" s="21" customFormat="1" ht="48" hidden="1" customHeight="1" x14ac:dyDescent="0.25">
      <c r="A31" s="549"/>
      <c r="B31" s="601"/>
      <c r="C31" s="124" t="s">
        <v>22</v>
      </c>
      <c r="D31" s="74">
        <f>SUM(J31,L31,N31,P31,R31,T31,V31,X31,Z31,AB31,AD31,AF31)</f>
        <v>0</v>
      </c>
      <c r="E31" s="74">
        <f>J31</f>
        <v>0</v>
      </c>
      <c r="F31" s="74">
        <f>G31</f>
        <v>0</v>
      </c>
      <c r="G31" s="74">
        <f>SUM(K31,M31,O31,Q31,S31,U31,W31,Y31,AA31,AC31,AE31,AG31)</f>
        <v>0</v>
      </c>
      <c r="H31" s="74">
        <f t="shared" si="13"/>
        <v>0</v>
      </c>
      <c r="I31" s="74">
        <f t="shared" si="14"/>
        <v>0</v>
      </c>
      <c r="J31" s="67">
        <v>0</v>
      </c>
      <c r="K31" s="67">
        <v>0</v>
      </c>
      <c r="L31" s="67">
        <v>0</v>
      </c>
      <c r="M31" s="67">
        <v>0</v>
      </c>
      <c r="N31" s="67">
        <v>0</v>
      </c>
      <c r="O31" s="67">
        <v>0</v>
      </c>
      <c r="P31" s="67">
        <v>0</v>
      </c>
      <c r="Q31" s="67">
        <v>0</v>
      </c>
      <c r="R31" s="67">
        <v>0</v>
      </c>
      <c r="S31" s="67">
        <v>0</v>
      </c>
      <c r="T31" s="67">
        <v>0</v>
      </c>
      <c r="U31" s="67">
        <v>0</v>
      </c>
      <c r="V31" s="67">
        <v>0</v>
      </c>
      <c r="W31" s="67">
        <v>0</v>
      </c>
      <c r="X31" s="67">
        <v>0</v>
      </c>
      <c r="Y31" s="67">
        <v>0</v>
      </c>
      <c r="Z31" s="67">
        <v>0</v>
      </c>
      <c r="AA31" s="67">
        <v>0</v>
      </c>
      <c r="AB31" s="67">
        <v>0</v>
      </c>
      <c r="AC31" s="67">
        <v>0</v>
      </c>
      <c r="AD31" s="67">
        <v>0</v>
      </c>
      <c r="AE31" s="67">
        <v>0</v>
      </c>
      <c r="AF31" s="67">
        <v>0</v>
      </c>
      <c r="AG31" s="67">
        <v>0</v>
      </c>
      <c r="AH31" s="60"/>
      <c r="AI31" s="23"/>
    </row>
    <row r="32" spans="1:35" s="21" customFormat="1" ht="48" customHeight="1" x14ac:dyDescent="0.25">
      <c r="A32" s="549"/>
      <c r="B32" s="601"/>
      <c r="C32" s="124" t="s">
        <v>21</v>
      </c>
      <c r="D32" s="74">
        <f>SUM(J32,L32,N32,P32,R32,T32,V32,X32,Z32,AB32,AD32,AF32)</f>
        <v>262038.47699999996</v>
      </c>
      <c r="E32" s="74">
        <f>J32</f>
        <v>28096.323</v>
      </c>
      <c r="F32" s="74">
        <f>G32</f>
        <v>169108.12</v>
      </c>
      <c r="G32" s="74">
        <f>SUM(K32,M32,O32,Q32,S32,U32,W32,Y32,AA32,AC32,AE32,AG32)</f>
        <v>169108.12</v>
      </c>
      <c r="H32" s="74">
        <f t="shared" si="13"/>
        <v>64.535606349139343</v>
      </c>
      <c r="I32" s="74">
        <f t="shared" si="14"/>
        <v>601.88701560698883</v>
      </c>
      <c r="J32" s="67">
        <f>18103.863+9992.46</f>
        <v>28096.323</v>
      </c>
      <c r="K32" s="67">
        <v>8265.57</v>
      </c>
      <c r="L32" s="67">
        <f>19335.834+5993.974</f>
        <v>25329.807999999997</v>
      </c>
      <c r="M32" s="264">
        <v>19367.11</v>
      </c>
      <c r="N32" s="67">
        <f>14786.868+6352.602</f>
        <v>21139.47</v>
      </c>
      <c r="O32" s="67">
        <v>20547.189999999999</v>
      </c>
      <c r="P32" s="67">
        <f>16299.542+7196.022</f>
        <v>23495.563999999998</v>
      </c>
      <c r="Q32" s="67">
        <f>12114.04+7745.51</f>
        <v>19859.550000000003</v>
      </c>
      <c r="R32" s="67">
        <v>21281.3</v>
      </c>
      <c r="S32" s="67">
        <f>15939.58+10224.7</f>
        <v>26164.28</v>
      </c>
      <c r="T32" s="67">
        <f>14173.817+18250.468</f>
        <v>32424.285</v>
      </c>
      <c r="U32" s="67">
        <f>17615.58+14887.82</f>
        <v>32503.4</v>
      </c>
      <c r="V32" s="67">
        <f>14405.061+7823.288</f>
        <v>22228.348999999998</v>
      </c>
      <c r="W32" s="67">
        <v>22654.28</v>
      </c>
      <c r="X32" s="67">
        <f>13860.501+3678.815</f>
        <v>17539.315999999999</v>
      </c>
      <c r="Y32" s="67">
        <v>19746.740000000002</v>
      </c>
      <c r="Z32" s="67">
        <f>9913.031+7586.302</f>
        <v>17499.332999999999</v>
      </c>
      <c r="AA32" s="67">
        <v>0</v>
      </c>
      <c r="AB32" s="67">
        <f>10650.361+6368.8</f>
        <v>17019.161</v>
      </c>
      <c r="AC32" s="67">
        <v>0</v>
      </c>
      <c r="AD32" s="67">
        <f>9433.743+7007.749</f>
        <v>16441.491999999998</v>
      </c>
      <c r="AE32" s="67">
        <v>0</v>
      </c>
      <c r="AF32" s="67">
        <f>10376.512+9167.564</f>
        <v>19544.076000000001</v>
      </c>
      <c r="AG32" s="67">
        <v>0</v>
      </c>
      <c r="AH32" s="60"/>
      <c r="AI32" s="23"/>
    </row>
    <row r="33" spans="1:35" s="22" customFormat="1" ht="45" customHeight="1" x14ac:dyDescent="0.25">
      <c r="A33" s="554"/>
      <c r="B33" s="602"/>
      <c r="C33" s="124" t="s">
        <v>276</v>
      </c>
      <c r="D33" s="74">
        <f>SUM(J33,L33,N33,P33,R33,T33,V33,X33,Z33,AB33,AD33,AF33)</f>
        <v>40455.602000000006</v>
      </c>
      <c r="E33" s="74">
        <f>J33</f>
        <v>4682.8440000000001</v>
      </c>
      <c r="F33" s="74">
        <f>G33</f>
        <v>0</v>
      </c>
      <c r="G33" s="74">
        <f>SUM(K33,M33,O33,Q33,S33,U33,W33,Y33,AA33,AC33,AE33,AG33)</f>
        <v>0</v>
      </c>
      <c r="H33" s="74">
        <f t="shared" si="13"/>
        <v>0</v>
      </c>
      <c r="I33" s="74">
        <f t="shared" si="14"/>
        <v>0</v>
      </c>
      <c r="J33" s="67">
        <v>4682.8440000000001</v>
      </c>
      <c r="K33" s="67">
        <v>0</v>
      </c>
      <c r="L33" s="67">
        <v>4649.72</v>
      </c>
      <c r="M33" s="67">
        <v>0</v>
      </c>
      <c r="N33" s="67">
        <v>5374.1049999999996</v>
      </c>
      <c r="O33" s="67">
        <v>0</v>
      </c>
      <c r="P33" s="67">
        <v>3560.194</v>
      </c>
      <c r="Q33" s="67">
        <v>0</v>
      </c>
      <c r="R33" s="67">
        <v>4088.88</v>
      </c>
      <c r="S33" s="67">
        <v>0</v>
      </c>
      <c r="T33" s="67">
        <v>1105.4549999999999</v>
      </c>
      <c r="U33" s="67">
        <v>0</v>
      </c>
      <c r="V33" s="67">
        <v>8.84</v>
      </c>
      <c r="W33" s="67">
        <v>0</v>
      </c>
      <c r="X33" s="67">
        <v>8.84</v>
      </c>
      <c r="Y33" s="67">
        <v>0</v>
      </c>
      <c r="Z33" s="67">
        <v>4279.88</v>
      </c>
      <c r="AA33" s="67">
        <v>0</v>
      </c>
      <c r="AB33" s="67">
        <v>4189.268</v>
      </c>
      <c r="AC33" s="67">
        <v>0</v>
      </c>
      <c r="AD33" s="67">
        <v>3909.7559999999999</v>
      </c>
      <c r="AE33" s="67">
        <v>0</v>
      </c>
      <c r="AF33" s="67">
        <v>4597.82</v>
      </c>
      <c r="AG33" s="67">
        <v>0</v>
      </c>
      <c r="AH33" s="64"/>
      <c r="AI33" s="20"/>
    </row>
    <row r="34" spans="1:35" s="21" customFormat="1" ht="39.75" customHeight="1" x14ac:dyDescent="0.25">
      <c r="A34" s="553"/>
      <c r="B34" s="600" t="s">
        <v>295</v>
      </c>
      <c r="C34" s="123" t="s">
        <v>20</v>
      </c>
      <c r="D34" s="70">
        <f>D35+D36+D37+D38</f>
        <v>386.00099999999998</v>
      </c>
      <c r="E34" s="70">
        <f t="shared" ref="E34:G34" si="27">E35+E36+E37+E38</f>
        <v>62.82</v>
      </c>
      <c r="F34" s="70">
        <f t="shared" si="27"/>
        <v>121.22999999999999</v>
      </c>
      <c r="G34" s="70">
        <f t="shared" si="27"/>
        <v>121.22999999999999</v>
      </c>
      <c r="H34" s="70">
        <f t="shared" si="13"/>
        <v>31.406654386905728</v>
      </c>
      <c r="I34" s="70">
        <f t="shared" si="14"/>
        <v>192.97994269340973</v>
      </c>
      <c r="J34" s="70">
        <f t="shared" ref="J34:AF34" si="28">J35+J36+J37+J38</f>
        <v>62.82</v>
      </c>
      <c r="K34" s="70">
        <f t="shared" si="28"/>
        <v>0</v>
      </c>
      <c r="L34" s="70">
        <f t="shared" si="28"/>
        <v>49.597000000000001</v>
      </c>
      <c r="M34" s="70">
        <f t="shared" si="28"/>
        <v>18.63</v>
      </c>
      <c r="N34" s="70">
        <f t="shared" si="28"/>
        <v>20.422000000000001</v>
      </c>
      <c r="O34" s="70">
        <f t="shared" si="28"/>
        <v>16.53</v>
      </c>
      <c r="P34" s="70">
        <f t="shared" si="28"/>
        <v>84.972999999999999</v>
      </c>
      <c r="Q34" s="70">
        <f t="shared" si="28"/>
        <v>19.73</v>
      </c>
      <c r="R34" s="70">
        <f t="shared" si="28"/>
        <v>12.821999999999999</v>
      </c>
      <c r="S34" s="70">
        <f t="shared" si="28"/>
        <v>18.93</v>
      </c>
      <c r="T34" s="70">
        <f t="shared" si="28"/>
        <v>12.821999999999999</v>
      </c>
      <c r="U34" s="70">
        <f t="shared" si="28"/>
        <v>24.89</v>
      </c>
      <c r="V34" s="70">
        <f t="shared" si="28"/>
        <v>12.821999999999999</v>
      </c>
      <c r="W34" s="70">
        <f t="shared" si="28"/>
        <v>11.16</v>
      </c>
      <c r="X34" s="70">
        <f t="shared" si="28"/>
        <v>24.638000000000002</v>
      </c>
      <c r="Y34" s="70">
        <f t="shared" si="28"/>
        <v>11.36</v>
      </c>
      <c r="Z34" s="70">
        <f t="shared" si="28"/>
        <v>20.821999999999999</v>
      </c>
      <c r="AA34" s="70">
        <f t="shared" si="28"/>
        <v>0</v>
      </c>
      <c r="AB34" s="70">
        <f t="shared" si="28"/>
        <v>45.796999999999997</v>
      </c>
      <c r="AC34" s="70">
        <f t="shared" si="28"/>
        <v>0</v>
      </c>
      <c r="AD34" s="70">
        <f t="shared" si="28"/>
        <v>12.821999999999999</v>
      </c>
      <c r="AE34" s="70">
        <f t="shared" si="28"/>
        <v>0</v>
      </c>
      <c r="AF34" s="70">
        <f t="shared" si="28"/>
        <v>25.643999999999998</v>
      </c>
      <c r="AG34" s="70">
        <f>AG35+AG36+AG37+AG38</f>
        <v>0</v>
      </c>
      <c r="AH34" s="48"/>
      <c r="AI34" s="23"/>
    </row>
    <row r="35" spans="1:35" s="21" customFormat="1" ht="42.75" hidden="1" customHeight="1" x14ac:dyDescent="0.25">
      <c r="A35" s="549"/>
      <c r="B35" s="601"/>
      <c r="C35" s="124" t="s">
        <v>52</v>
      </c>
      <c r="D35" s="74">
        <f>SUM(J35,L35,N35,P35,R35,T35,V35,X35,Z35,AB35,AD35,AF35)</f>
        <v>0</v>
      </c>
      <c r="E35" s="74">
        <f>J35</f>
        <v>0</v>
      </c>
      <c r="F35" s="74">
        <f>G35</f>
        <v>0</v>
      </c>
      <c r="G35" s="74">
        <f>SUM(K35,M35,O35,Q35,S35,U35,W35,Y35,AA35,AC35,AE35,AG35)</f>
        <v>0</v>
      </c>
      <c r="H35" s="74">
        <f t="shared" si="13"/>
        <v>0</v>
      </c>
      <c r="I35" s="74">
        <f t="shared" si="14"/>
        <v>0</v>
      </c>
      <c r="J35" s="74">
        <v>0</v>
      </c>
      <c r="K35" s="74">
        <v>0</v>
      </c>
      <c r="L35" s="74">
        <v>0</v>
      </c>
      <c r="M35" s="74">
        <v>0</v>
      </c>
      <c r="N35" s="74">
        <v>0</v>
      </c>
      <c r="O35" s="74">
        <v>0</v>
      </c>
      <c r="P35" s="74">
        <v>0</v>
      </c>
      <c r="Q35" s="74">
        <v>0</v>
      </c>
      <c r="R35" s="74">
        <v>0</v>
      </c>
      <c r="S35" s="74">
        <v>0</v>
      </c>
      <c r="T35" s="74">
        <v>0</v>
      </c>
      <c r="U35" s="74">
        <v>0</v>
      </c>
      <c r="V35" s="74">
        <v>0</v>
      </c>
      <c r="W35" s="74">
        <v>0</v>
      </c>
      <c r="X35" s="74">
        <v>0</v>
      </c>
      <c r="Y35" s="74">
        <v>0</v>
      </c>
      <c r="Z35" s="74">
        <v>0</v>
      </c>
      <c r="AA35" s="74">
        <v>0</v>
      </c>
      <c r="AB35" s="74">
        <v>0</v>
      </c>
      <c r="AC35" s="74">
        <v>0</v>
      </c>
      <c r="AD35" s="74">
        <v>0</v>
      </c>
      <c r="AE35" s="74">
        <v>0</v>
      </c>
      <c r="AF35" s="74">
        <v>0</v>
      </c>
      <c r="AG35" s="74">
        <v>0</v>
      </c>
      <c r="AH35" s="60"/>
      <c r="AI35" s="23"/>
    </row>
    <row r="36" spans="1:35" s="21" customFormat="1" ht="48" hidden="1" customHeight="1" x14ac:dyDescent="0.25">
      <c r="A36" s="549"/>
      <c r="B36" s="601"/>
      <c r="C36" s="124" t="s">
        <v>22</v>
      </c>
      <c r="D36" s="74">
        <f>SUM(J36,L36,N36,P36,R36,T36,V36,X36,Z36,AB36,AD36,AF36)</f>
        <v>0</v>
      </c>
      <c r="E36" s="74">
        <f>J36</f>
        <v>0</v>
      </c>
      <c r="F36" s="74">
        <f>G36</f>
        <v>0</v>
      </c>
      <c r="G36" s="74">
        <f>SUM(K36,M36,O36,Q36,S36,U36,W36,Y36,AA36,AC36,AE36,AG36)</f>
        <v>0</v>
      </c>
      <c r="H36" s="74">
        <f t="shared" si="13"/>
        <v>0</v>
      </c>
      <c r="I36" s="74">
        <f t="shared" si="14"/>
        <v>0</v>
      </c>
      <c r="J36" s="67">
        <v>0</v>
      </c>
      <c r="K36" s="67">
        <v>0</v>
      </c>
      <c r="L36" s="67">
        <v>0</v>
      </c>
      <c r="M36" s="67">
        <v>0</v>
      </c>
      <c r="N36" s="67">
        <v>0</v>
      </c>
      <c r="O36" s="67">
        <v>0</v>
      </c>
      <c r="P36" s="67">
        <v>0</v>
      </c>
      <c r="Q36" s="67">
        <v>0</v>
      </c>
      <c r="R36" s="67">
        <v>0</v>
      </c>
      <c r="S36" s="67">
        <v>0</v>
      </c>
      <c r="T36" s="67">
        <v>0</v>
      </c>
      <c r="U36" s="67">
        <v>0</v>
      </c>
      <c r="V36" s="67">
        <v>0</v>
      </c>
      <c r="W36" s="67">
        <v>0</v>
      </c>
      <c r="X36" s="67">
        <v>0</v>
      </c>
      <c r="Y36" s="67">
        <v>0</v>
      </c>
      <c r="Z36" s="67">
        <v>0</v>
      </c>
      <c r="AA36" s="67">
        <v>0</v>
      </c>
      <c r="AB36" s="67">
        <v>0</v>
      </c>
      <c r="AC36" s="67">
        <v>0</v>
      </c>
      <c r="AD36" s="67">
        <v>0</v>
      </c>
      <c r="AE36" s="67">
        <v>0</v>
      </c>
      <c r="AF36" s="67">
        <v>0</v>
      </c>
      <c r="AG36" s="67">
        <v>0</v>
      </c>
      <c r="AH36" s="60"/>
      <c r="AI36" s="23"/>
    </row>
    <row r="37" spans="1:35" s="21" customFormat="1" ht="48" customHeight="1" x14ac:dyDescent="0.25">
      <c r="A37" s="549"/>
      <c r="B37" s="601"/>
      <c r="C37" s="124" t="s">
        <v>21</v>
      </c>
      <c r="D37" s="74">
        <f>SUM(J37,L37,N37,P37,R37,T37,V37,X37,Z37,AB37,AD37,AF37)</f>
        <v>386.00099999999998</v>
      </c>
      <c r="E37" s="74">
        <f>J37</f>
        <v>62.82</v>
      </c>
      <c r="F37" s="74">
        <f>G37</f>
        <v>121.22999999999999</v>
      </c>
      <c r="G37" s="74">
        <f>SUM(K37,M37,O37,Q37,S37,U37,W37,Y37,AA37,AC37,AE37,AG37)</f>
        <v>121.22999999999999</v>
      </c>
      <c r="H37" s="74">
        <f t="shared" si="13"/>
        <v>31.406654386905728</v>
      </c>
      <c r="I37" s="74">
        <f t="shared" si="14"/>
        <v>192.97994269340973</v>
      </c>
      <c r="J37" s="67">
        <v>62.82</v>
      </c>
      <c r="K37" s="67">
        <v>0</v>
      </c>
      <c r="L37" s="67">
        <v>49.597000000000001</v>
      </c>
      <c r="M37" s="263">
        <v>18.63</v>
      </c>
      <c r="N37" s="67">
        <v>20.422000000000001</v>
      </c>
      <c r="O37" s="67">
        <v>16.53</v>
      </c>
      <c r="P37" s="67">
        <v>84.972999999999999</v>
      </c>
      <c r="Q37" s="67">
        <v>19.73</v>
      </c>
      <c r="R37" s="67">
        <v>12.821999999999999</v>
      </c>
      <c r="S37" s="67">
        <v>18.93</v>
      </c>
      <c r="T37" s="67">
        <v>12.821999999999999</v>
      </c>
      <c r="U37" s="67">
        <v>24.89</v>
      </c>
      <c r="V37" s="67">
        <v>12.821999999999999</v>
      </c>
      <c r="W37" s="67">
        <v>11.16</v>
      </c>
      <c r="X37" s="67">
        <v>24.638000000000002</v>
      </c>
      <c r="Y37" s="67">
        <v>11.36</v>
      </c>
      <c r="Z37" s="67">
        <v>20.821999999999999</v>
      </c>
      <c r="AA37" s="67">
        <v>0</v>
      </c>
      <c r="AB37" s="158">
        <v>45.796999999999997</v>
      </c>
      <c r="AC37" s="67">
        <v>0</v>
      </c>
      <c r="AD37" s="67">
        <v>12.821999999999999</v>
      </c>
      <c r="AE37" s="67">
        <v>0</v>
      </c>
      <c r="AF37" s="67">
        <v>25.643999999999998</v>
      </c>
      <c r="AG37" s="67">
        <v>0</v>
      </c>
      <c r="AH37" s="60"/>
      <c r="AI37" s="23"/>
    </row>
    <row r="38" spans="1:35" s="22" customFormat="1" ht="45" hidden="1" customHeight="1" x14ac:dyDescent="0.25">
      <c r="A38" s="554"/>
      <c r="B38" s="602"/>
      <c r="C38" s="124" t="s">
        <v>276</v>
      </c>
      <c r="D38" s="74">
        <f>SUM(J38,L38,N38,P38,R38,T38,V38,X38,Z38,AB38,AD38,AF38)</f>
        <v>0</v>
      </c>
      <c r="E38" s="74">
        <f>J38</f>
        <v>0</v>
      </c>
      <c r="F38" s="74">
        <f>G38</f>
        <v>0</v>
      </c>
      <c r="G38" s="74">
        <f>SUM(K38,M38,O38,Q38,S38,U38,W38,Y38,AA38,AC38,AE38,AG38)</f>
        <v>0</v>
      </c>
      <c r="H38" s="74">
        <f t="shared" si="13"/>
        <v>0</v>
      </c>
      <c r="I38" s="74">
        <f t="shared" si="14"/>
        <v>0</v>
      </c>
      <c r="J38" s="67">
        <v>0</v>
      </c>
      <c r="K38" s="67">
        <v>0</v>
      </c>
      <c r="L38" s="67">
        <v>0</v>
      </c>
      <c r="M38" s="67">
        <v>0</v>
      </c>
      <c r="N38" s="67">
        <v>0</v>
      </c>
      <c r="O38" s="67">
        <v>0</v>
      </c>
      <c r="P38" s="67">
        <v>0</v>
      </c>
      <c r="Q38" s="67">
        <v>0</v>
      </c>
      <c r="R38" s="67">
        <v>0</v>
      </c>
      <c r="S38" s="67">
        <v>0</v>
      </c>
      <c r="T38" s="67">
        <v>0</v>
      </c>
      <c r="U38" s="67">
        <v>0</v>
      </c>
      <c r="V38" s="67">
        <v>0</v>
      </c>
      <c r="W38" s="67">
        <v>0</v>
      </c>
      <c r="X38" s="67">
        <v>0</v>
      </c>
      <c r="Y38" s="67">
        <v>0</v>
      </c>
      <c r="Z38" s="67">
        <v>0</v>
      </c>
      <c r="AA38" s="67">
        <v>0</v>
      </c>
      <c r="AB38" s="67">
        <v>0</v>
      </c>
      <c r="AC38" s="67">
        <v>0</v>
      </c>
      <c r="AD38" s="67">
        <v>0</v>
      </c>
      <c r="AE38" s="67">
        <v>0</v>
      </c>
      <c r="AF38" s="67">
        <v>0</v>
      </c>
      <c r="AG38" s="67">
        <v>0</v>
      </c>
      <c r="AH38" s="64"/>
      <c r="AI38" s="20"/>
    </row>
    <row r="39" spans="1:35" s="21" customFormat="1" ht="24.75" customHeight="1" x14ac:dyDescent="0.25">
      <c r="A39" s="553"/>
      <c r="B39" s="600" t="s">
        <v>296</v>
      </c>
      <c r="C39" s="123" t="s">
        <v>20</v>
      </c>
      <c r="D39" s="70">
        <f>D40+D41+D42+D43</f>
        <v>8.3000000000000007</v>
      </c>
      <c r="E39" s="70">
        <f>E40+E41+E42+E43</f>
        <v>0</v>
      </c>
      <c r="F39" s="70">
        <f>F40+F41+F42+F43</f>
        <v>0</v>
      </c>
      <c r="G39" s="70">
        <f>G40+G41+G42+G43</f>
        <v>0</v>
      </c>
      <c r="H39" s="70">
        <f t="shared" si="13"/>
        <v>0</v>
      </c>
      <c r="I39" s="70">
        <f t="shared" si="14"/>
        <v>0</v>
      </c>
      <c r="J39" s="70">
        <f t="shared" ref="J39:AG39" si="29">J40+J41+J42+J43</f>
        <v>0</v>
      </c>
      <c r="K39" s="70">
        <f t="shared" si="29"/>
        <v>0</v>
      </c>
      <c r="L39" s="70">
        <f t="shared" si="29"/>
        <v>0</v>
      </c>
      <c r="M39" s="70">
        <f t="shared" si="29"/>
        <v>0</v>
      </c>
      <c r="N39" s="70">
        <f t="shared" si="29"/>
        <v>0</v>
      </c>
      <c r="O39" s="70">
        <f t="shared" si="29"/>
        <v>0</v>
      </c>
      <c r="P39" s="70">
        <f t="shared" si="29"/>
        <v>8.3000000000000007</v>
      </c>
      <c r="Q39" s="70">
        <f t="shared" si="29"/>
        <v>0</v>
      </c>
      <c r="R39" s="70">
        <f t="shared" si="29"/>
        <v>0</v>
      </c>
      <c r="S39" s="70">
        <f t="shared" si="29"/>
        <v>0</v>
      </c>
      <c r="T39" s="70">
        <f t="shared" si="29"/>
        <v>0</v>
      </c>
      <c r="U39" s="70">
        <f t="shared" si="29"/>
        <v>0</v>
      </c>
      <c r="V39" s="70">
        <f t="shared" si="29"/>
        <v>0</v>
      </c>
      <c r="W39" s="70">
        <f t="shared" si="29"/>
        <v>0</v>
      </c>
      <c r="X39" s="70">
        <f t="shared" si="29"/>
        <v>0</v>
      </c>
      <c r="Y39" s="70">
        <f t="shared" si="29"/>
        <v>0</v>
      </c>
      <c r="Z39" s="70">
        <f t="shared" si="29"/>
        <v>0</v>
      </c>
      <c r="AA39" s="70">
        <f t="shared" si="29"/>
        <v>0</v>
      </c>
      <c r="AB39" s="70">
        <f t="shared" si="29"/>
        <v>0</v>
      </c>
      <c r="AC39" s="70">
        <f t="shared" si="29"/>
        <v>0</v>
      </c>
      <c r="AD39" s="70">
        <f t="shared" si="29"/>
        <v>0</v>
      </c>
      <c r="AE39" s="70">
        <f t="shared" si="29"/>
        <v>0</v>
      </c>
      <c r="AF39" s="70">
        <f t="shared" si="29"/>
        <v>0</v>
      </c>
      <c r="AG39" s="70">
        <f t="shared" si="29"/>
        <v>0</v>
      </c>
      <c r="AH39" s="48"/>
      <c r="AI39" s="23"/>
    </row>
    <row r="40" spans="1:35" s="21" customFormat="1" ht="42.75" hidden="1" customHeight="1" x14ac:dyDescent="0.25">
      <c r="A40" s="549"/>
      <c r="B40" s="601"/>
      <c r="C40" s="124" t="s">
        <v>52</v>
      </c>
      <c r="D40" s="74">
        <f>SUM(J40,L40,N40,P40,R40,T40,V40,X40,Z40,AB40,AD40,AF40)</f>
        <v>0</v>
      </c>
      <c r="E40" s="74">
        <f>J40</f>
        <v>0</v>
      </c>
      <c r="F40" s="74">
        <f>G40</f>
        <v>0</v>
      </c>
      <c r="G40" s="74">
        <f>SUM(K40,M40,O40,Q40,S40,U40,W40,Y40,AA40,AC40,AE40,AG40)</f>
        <v>0</v>
      </c>
      <c r="H40" s="74">
        <f t="shared" si="13"/>
        <v>0</v>
      </c>
      <c r="I40" s="74">
        <f t="shared" si="14"/>
        <v>0</v>
      </c>
      <c r="J40" s="74">
        <v>0</v>
      </c>
      <c r="K40" s="74">
        <v>0</v>
      </c>
      <c r="L40" s="74">
        <v>0</v>
      </c>
      <c r="M40" s="74">
        <v>0</v>
      </c>
      <c r="N40" s="74">
        <v>0</v>
      </c>
      <c r="O40" s="74">
        <v>0</v>
      </c>
      <c r="P40" s="74">
        <v>0</v>
      </c>
      <c r="Q40" s="74">
        <v>0</v>
      </c>
      <c r="R40" s="74">
        <v>0</v>
      </c>
      <c r="S40" s="74">
        <v>0</v>
      </c>
      <c r="T40" s="74">
        <v>0</v>
      </c>
      <c r="U40" s="74">
        <v>0</v>
      </c>
      <c r="V40" s="74">
        <v>0</v>
      </c>
      <c r="W40" s="74">
        <v>0</v>
      </c>
      <c r="X40" s="74">
        <v>0</v>
      </c>
      <c r="Y40" s="74">
        <v>0</v>
      </c>
      <c r="Z40" s="74">
        <v>0</v>
      </c>
      <c r="AA40" s="74">
        <v>0</v>
      </c>
      <c r="AB40" s="74">
        <v>0</v>
      </c>
      <c r="AC40" s="74">
        <v>0</v>
      </c>
      <c r="AD40" s="74">
        <v>0</v>
      </c>
      <c r="AE40" s="74">
        <v>0</v>
      </c>
      <c r="AF40" s="74">
        <v>0</v>
      </c>
      <c r="AG40" s="74">
        <v>0</v>
      </c>
      <c r="AH40" s="60"/>
      <c r="AI40" s="23"/>
    </row>
    <row r="41" spans="1:35" s="21" customFormat="1" ht="48" hidden="1" customHeight="1" x14ac:dyDescent="0.25">
      <c r="A41" s="549"/>
      <c r="B41" s="601"/>
      <c r="C41" s="124" t="s">
        <v>22</v>
      </c>
      <c r="D41" s="74">
        <f>SUM(J41,L41,N41,P41,R41,T41,V41,X41,Z41,AB41,AD41,AF41)</f>
        <v>0</v>
      </c>
      <c r="E41" s="74">
        <f>J41</f>
        <v>0</v>
      </c>
      <c r="F41" s="74">
        <f>G41</f>
        <v>0</v>
      </c>
      <c r="G41" s="74">
        <f>SUM(K41,M41,O41,Q41,S41,U41,W41,Y41,AA41,AC41,AE41,AG41)</f>
        <v>0</v>
      </c>
      <c r="H41" s="74">
        <f t="shared" si="13"/>
        <v>0</v>
      </c>
      <c r="I41" s="74">
        <f t="shared" si="14"/>
        <v>0</v>
      </c>
      <c r="J41" s="67">
        <v>0</v>
      </c>
      <c r="K41" s="67">
        <v>0</v>
      </c>
      <c r="L41" s="67">
        <v>0</v>
      </c>
      <c r="M41" s="67">
        <v>0</v>
      </c>
      <c r="N41" s="67">
        <v>0</v>
      </c>
      <c r="O41" s="67">
        <v>0</v>
      </c>
      <c r="P41" s="67">
        <v>0</v>
      </c>
      <c r="Q41" s="67">
        <v>0</v>
      </c>
      <c r="R41" s="67">
        <v>0</v>
      </c>
      <c r="S41" s="67">
        <v>0</v>
      </c>
      <c r="T41" s="67">
        <v>0</v>
      </c>
      <c r="U41" s="67">
        <v>0</v>
      </c>
      <c r="V41" s="67">
        <v>0</v>
      </c>
      <c r="W41" s="67">
        <v>0</v>
      </c>
      <c r="X41" s="67">
        <v>0</v>
      </c>
      <c r="Y41" s="67">
        <v>0</v>
      </c>
      <c r="Z41" s="67">
        <v>0</v>
      </c>
      <c r="AA41" s="67">
        <v>0</v>
      </c>
      <c r="AB41" s="67">
        <v>0</v>
      </c>
      <c r="AC41" s="67">
        <v>0</v>
      </c>
      <c r="AD41" s="67">
        <v>0</v>
      </c>
      <c r="AE41" s="67">
        <v>0</v>
      </c>
      <c r="AF41" s="67">
        <v>0</v>
      </c>
      <c r="AG41" s="67">
        <v>0</v>
      </c>
      <c r="AH41" s="60"/>
      <c r="AI41" s="23"/>
    </row>
    <row r="42" spans="1:35" s="21" customFormat="1" ht="48" customHeight="1" x14ac:dyDescent="0.25">
      <c r="A42" s="549"/>
      <c r="B42" s="601"/>
      <c r="C42" s="124" t="s">
        <v>21</v>
      </c>
      <c r="D42" s="74">
        <f>SUM(J42,L42,N42,P42,R42,T42,V42,X42,Z42,AB42,AD42,AF42)</f>
        <v>8.3000000000000007</v>
      </c>
      <c r="E42" s="74">
        <f>J42</f>
        <v>0</v>
      </c>
      <c r="F42" s="74">
        <f>G42</f>
        <v>0</v>
      </c>
      <c r="G42" s="74">
        <f>SUM(K42,M42,O42,Q42,S42,U42,W42,Y42,AA42,AC42,AE42,AG42)</f>
        <v>0</v>
      </c>
      <c r="H42" s="74">
        <f t="shared" si="13"/>
        <v>0</v>
      </c>
      <c r="I42" s="74">
        <f t="shared" si="14"/>
        <v>0</v>
      </c>
      <c r="J42" s="67">
        <v>0</v>
      </c>
      <c r="K42" s="67">
        <v>0</v>
      </c>
      <c r="L42" s="67">
        <v>0</v>
      </c>
      <c r="M42" s="67">
        <v>0</v>
      </c>
      <c r="N42" s="67">
        <v>0</v>
      </c>
      <c r="O42" s="67">
        <v>0</v>
      </c>
      <c r="P42" s="67">
        <v>8.3000000000000007</v>
      </c>
      <c r="Q42" s="67">
        <v>0</v>
      </c>
      <c r="R42" s="67">
        <v>0</v>
      </c>
      <c r="S42" s="67">
        <v>0</v>
      </c>
      <c r="T42" s="67">
        <v>0</v>
      </c>
      <c r="U42" s="67">
        <v>0</v>
      </c>
      <c r="V42" s="67">
        <v>0</v>
      </c>
      <c r="W42" s="67">
        <v>0</v>
      </c>
      <c r="X42" s="67">
        <v>0</v>
      </c>
      <c r="Y42" s="67">
        <v>0</v>
      </c>
      <c r="Z42" s="67">
        <v>0</v>
      </c>
      <c r="AA42" s="67">
        <v>0</v>
      </c>
      <c r="AB42" s="67">
        <v>0</v>
      </c>
      <c r="AC42" s="67">
        <v>0</v>
      </c>
      <c r="AD42" s="67">
        <v>0</v>
      </c>
      <c r="AE42" s="67">
        <v>0</v>
      </c>
      <c r="AF42" s="67">
        <v>0</v>
      </c>
      <c r="AG42" s="67">
        <v>0</v>
      </c>
      <c r="AH42" s="60"/>
      <c r="AI42" s="23"/>
    </row>
    <row r="43" spans="1:35" s="22" customFormat="1" ht="45" hidden="1" customHeight="1" x14ac:dyDescent="0.25">
      <c r="A43" s="554"/>
      <c r="B43" s="602"/>
      <c r="C43" s="124" t="s">
        <v>276</v>
      </c>
      <c r="D43" s="74">
        <f>SUM(J43,L43,N43,P43,R43,T43,V43,X43,Z43,AB43,AD43,AF43)</f>
        <v>0</v>
      </c>
      <c r="E43" s="74">
        <f>J43</f>
        <v>0</v>
      </c>
      <c r="F43" s="74">
        <f>G43</f>
        <v>0</v>
      </c>
      <c r="G43" s="74">
        <f>SUM(K43,M43,O43,Q43,S43,U43,W43,Y43,AA43,AC43,AE43,AG43)</f>
        <v>0</v>
      </c>
      <c r="H43" s="74">
        <f t="shared" si="13"/>
        <v>0</v>
      </c>
      <c r="I43" s="74">
        <f t="shared" si="14"/>
        <v>0</v>
      </c>
      <c r="J43" s="67">
        <v>0</v>
      </c>
      <c r="K43" s="67">
        <v>0</v>
      </c>
      <c r="L43" s="67">
        <v>0</v>
      </c>
      <c r="M43" s="67">
        <v>0</v>
      </c>
      <c r="N43" s="67">
        <v>0</v>
      </c>
      <c r="O43" s="67">
        <v>0</v>
      </c>
      <c r="P43" s="67">
        <v>0</v>
      </c>
      <c r="Q43" s="67">
        <v>0</v>
      </c>
      <c r="R43" s="67">
        <v>0</v>
      </c>
      <c r="S43" s="67">
        <v>0</v>
      </c>
      <c r="T43" s="67">
        <v>0</v>
      </c>
      <c r="U43" s="67">
        <v>0</v>
      </c>
      <c r="V43" s="67">
        <v>0</v>
      </c>
      <c r="W43" s="67">
        <v>0</v>
      </c>
      <c r="X43" s="67">
        <v>0</v>
      </c>
      <c r="Y43" s="67">
        <v>0</v>
      </c>
      <c r="Z43" s="67">
        <v>0</v>
      </c>
      <c r="AA43" s="67">
        <v>0</v>
      </c>
      <c r="AB43" s="67">
        <v>0</v>
      </c>
      <c r="AC43" s="67">
        <v>0</v>
      </c>
      <c r="AD43" s="67">
        <v>0</v>
      </c>
      <c r="AE43" s="67">
        <v>0</v>
      </c>
      <c r="AF43" s="67">
        <v>0</v>
      </c>
      <c r="AG43" s="67">
        <v>0</v>
      </c>
      <c r="AH43" s="64"/>
      <c r="AI43" s="20"/>
    </row>
    <row r="44" spans="1:35" s="21" customFormat="1" ht="24.75" customHeight="1" x14ac:dyDescent="0.25">
      <c r="A44" s="553"/>
      <c r="B44" s="600" t="s">
        <v>297</v>
      </c>
      <c r="C44" s="123" t="s">
        <v>20</v>
      </c>
      <c r="D44" s="70">
        <f>D45+D46+D47+D48</f>
        <v>10955.753000000001</v>
      </c>
      <c r="E44" s="70">
        <f t="shared" ref="E44:G44" si="30">E45+E46+E47+E48</f>
        <v>22.545999999999999</v>
      </c>
      <c r="F44" s="70">
        <f t="shared" si="30"/>
        <v>6026.19</v>
      </c>
      <c r="G44" s="70">
        <f t="shared" si="30"/>
        <v>6026.19</v>
      </c>
      <c r="H44" s="70">
        <f t="shared" si="13"/>
        <v>55.004799761367373</v>
      </c>
      <c r="I44" s="70">
        <f t="shared" si="14"/>
        <v>26728.421893018713</v>
      </c>
      <c r="J44" s="70">
        <f t="shared" ref="J44:AF44" si="31">J45+J46+J47+J48</f>
        <v>22.545999999999999</v>
      </c>
      <c r="K44" s="70">
        <f t="shared" si="31"/>
        <v>0</v>
      </c>
      <c r="L44" s="70">
        <f t="shared" si="31"/>
        <v>22.545999999999999</v>
      </c>
      <c r="M44" s="70">
        <f t="shared" si="31"/>
        <v>27.59</v>
      </c>
      <c r="N44" s="70">
        <f t="shared" si="31"/>
        <v>500.93200000000002</v>
      </c>
      <c r="O44" s="70">
        <f t="shared" si="31"/>
        <v>16.739999999999998</v>
      </c>
      <c r="P44" s="70">
        <f t="shared" si="31"/>
        <v>22.545999999999999</v>
      </c>
      <c r="Q44" s="70">
        <f t="shared" si="31"/>
        <v>64.7</v>
      </c>
      <c r="R44" s="70">
        <f t="shared" si="31"/>
        <v>2974.9459999999999</v>
      </c>
      <c r="S44" s="70">
        <f t="shared" si="31"/>
        <v>424.65</v>
      </c>
      <c r="T44" s="70">
        <f t="shared" si="31"/>
        <v>1784.3799999999999</v>
      </c>
      <c r="U44" s="70">
        <f t="shared" si="31"/>
        <v>2208.19</v>
      </c>
      <c r="V44" s="70">
        <f t="shared" si="31"/>
        <v>0</v>
      </c>
      <c r="W44" s="70">
        <f t="shared" si="31"/>
        <v>2849.12</v>
      </c>
      <c r="X44" s="70">
        <f t="shared" si="31"/>
        <v>0</v>
      </c>
      <c r="Y44" s="70">
        <f t="shared" si="31"/>
        <v>435.2</v>
      </c>
      <c r="Z44" s="70">
        <f t="shared" si="31"/>
        <v>22.545999999999999</v>
      </c>
      <c r="AA44" s="70">
        <f t="shared" si="31"/>
        <v>0</v>
      </c>
      <c r="AB44" s="70">
        <f t="shared" si="31"/>
        <v>22.545999999999999</v>
      </c>
      <c r="AC44" s="70">
        <f t="shared" si="31"/>
        <v>0</v>
      </c>
      <c r="AD44" s="70">
        <f t="shared" si="31"/>
        <v>22.545999999999999</v>
      </c>
      <c r="AE44" s="70">
        <f t="shared" si="31"/>
        <v>0</v>
      </c>
      <c r="AF44" s="70">
        <f t="shared" si="31"/>
        <v>5560.2190000000001</v>
      </c>
      <c r="AG44" s="70">
        <f>AG45+AG46+AG47+AG48</f>
        <v>0</v>
      </c>
      <c r="AH44" s="48"/>
      <c r="AI44" s="23"/>
    </row>
    <row r="45" spans="1:35" s="21" customFormat="1" ht="42.75" hidden="1" customHeight="1" x14ac:dyDescent="0.25">
      <c r="A45" s="549"/>
      <c r="B45" s="601"/>
      <c r="C45" s="124" t="s">
        <v>52</v>
      </c>
      <c r="D45" s="74">
        <f>SUM(J45,L45,N45,P45,R45,T45,V45,X45,Z45,AB45,AD45,AF45)</f>
        <v>0</v>
      </c>
      <c r="E45" s="74">
        <f>J45</f>
        <v>0</v>
      </c>
      <c r="F45" s="74">
        <f>G45</f>
        <v>0</v>
      </c>
      <c r="G45" s="74">
        <f>SUM(K45,M45,O45,Q45,S45,U45,W45,Y45,AA45,AC45,AE45,AG45)</f>
        <v>0</v>
      </c>
      <c r="H45" s="74">
        <f t="shared" si="13"/>
        <v>0</v>
      </c>
      <c r="I45" s="74">
        <f t="shared" si="14"/>
        <v>0</v>
      </c>
      <c r="J45" s="74">
        <v>0</v>
      </c>
      <c r="K45" s="74">
        <v>0</v>
      </c>
      <c r="L45" s="74">
        <v>0</v>
      </c>
      <c r="M45" s="74">
        <v>0</v>
      </c>
      <c r="N45" s="74">
        <v>0</v>
      </c>
      <c r="O45" s="74">
        <v>0</v>
      </c>
      <c r="P45" s="74">
        <v>0</v>
      </c>
      <c r="Q45" s="74">
        <v>0</v>
      </c>
      <c r="R45" s="74">
        <v>0</v>
      </c>
      <c r="S45" s="74">
        <v>0</v>
      </c>
      <c r="T45" s="74">
        <v>0</v>
      </c>
      <c r="U45" s="74">
        <v>0</v>
      </c>
      <c r="V45" s="74">
        <v>0</v>
      </c>
      <c r="W45" s="74">
        <v>0</v>
      </c>
      <c r="X45" s="74">
        <v>0</v>
      </c>
      <c r="Y45" s="74">
        <v>0</v>
      </c>
      <c r="Z45" s="74">
        <v>0</v>
      </c>
      <c r="AA45" s="74">
        <v>0</v>
      </c>
      <c r="AB45" s="74">
        <v>0</v>
      </c>
      <c r="AC45" s="74">
        <v>0</v>
      </c>
      <c r="AD45" s="74">
        <v>0</v>
      </c>
      <c r="AE45" s="74">
        <v>0</v>
      </c>
      <c r="AF45" s="74">
        <v>0</v>
      </c>
      <c r="AG45" s="74">
        <v>0</v>
      </c>
      <c r="AH45" s="60"/>
      <c r="AI45" s="23"/>
    </row>
    <row r="46" spans="1:35" s="21" customFormat="1" ht="48" customHeight="1" x14ac:dyDescent="0.25">
      <c r="A46" s="549"/>
      <c r="B46" s="601"/>
      <c r="C46" s="124" t="s">
        <v>22</v>
      </c>
      <c r="D46" s="74">
        <f>SUM(J46,L46,N46,P46,R46,T46,V46,X46,Z46,AB46,AD46,AF46)</f>
        <v>2804.7</v>
      </c>
      <c r="E46" s="74">
        <f>J46</f>
        <v>0</v>
      </c>
      <c r="F46" s="74">
        <f>G46</f>
        <v>520.71</v>
      </c>
      <c r="G46" s="74">
        <f>SUM(K46,M46,O46,Q46,S46,U46,W46,Y46,AA46,AC46,AE46,AG46)</f>
        <v>520.71</v>
      </c>
      <c r="H46" s="74">
        <f t="shared" si="13"/>
        <v>18.565621991656865</v>
      </c>
      <c r="I46" s="74">
        <f t="shared" si="14"/>
        <v>0</v>
      </c>
      <c r="J46" s="67">
        <v>0</v>
      </c>
      <c r="K46" s="67">
        <v>0</v>
      </c>
      <c r="L46" s="67">
        <v>0</v>
      </c>
      <c r="M46" s="67">
        <v>0</v>
      </c>
      <c r="N46" s="67">
        <v>0</v>
      </c>
      <c r="O46" s="67">
        <v>0</v>
      </c>
      <c r="P46" s="67">
        <v>0</v>
      </c>
      <c r="Q46" s="67">
        <v>0</v>
      </c>
      <c r="R46" s="67">
        <v>2804.7</v>
      </c>
      <c r="S46" s="67">
        <v>389.99</v>
      </c>
      <c r="T46" s="67">
        <v>0</v>
      </c>
      <c r="U46" s="67">
        <v>0</v>
      </c>
      <c r="V46" s="67">
        <v>0</v>
      </c>
      <c r="W46" s="67">
        <v>108.96</v>
      </c>
      <c r="X46" s="67">
        <v>0</v>
      </c>
      <c r="Y46" s="67">
        <v>21.76</v>
      </c>
      <c r="Z46" s="67">
        <v>0</v>
      </c>
      <c r="AA46" s="67">
        <v>0</v>
      </c>
      <c r="AB46" s="67">
        <v>0</v>
      </c>
      <c r="AC46" s="67">
        <v>0</v>
      </c>
      <c r="AD46" s="67">
        <v>0</v>
      </c>
      <c r="AE46" s="67">
        <v>0</v>
      </c>
      <c r="AF46" s="67">
        <v>0</v>
      </c>
      <c r="AG46" s="67">
        <v>0</v>
      </c>
      <c r="AH46" s="60"/>
      <c r="AI46" s="23"/>
    </row>
    <row r="47" spans="1:35" s="21" customFormat="1" ht="48" customHeight="1" x14ac:dyDescent="0.25">
      <c r="A47" s="549"/>
      <c r="B47" s="601"/>
      <c r="C47" s="124" t="s">
        <v>21</v>
      </c>
      <c r="D47" s="74">
        <f>SUM(J47,L47,N47,P47,R47,T47,V47,X47,Z47,AB47,AD47,AF47)</f>
        <v>8151.0529999999999</v>
      </c>
      <c r="E47" s="74">
        <f>J47</f>
        <v>22.545999999999999</v>
      </c>
      <c r="F47" s="74">
        <f>G47</f>
        <v>5505.48</v>
      </c>
      <c r="G47" s="74">
        <f>SUM(K47,M47,O47,Q47,S47,U47,W47,Y47,AA47,AC47,AE47,AG47)</f>
        <v>5505.48</v>
      </c>
      <c r="H47" s="74">
        <f t="shared" si="13"/>
        <v>67.543175096518198</v>
      </c>
      <c r="I47" s="74">
        <f t="shared" si="14"/>
        <v>24418.876962654129</v>
      </c>
      <c r="J47" s="67">
        <v>22.545999999999999</v>
      </c>
      <c r="K47" s="67">
        <v>0</v>
      </c>
      <c r="L47" s="67">
        <v>22.545999999999999</v>
      </c>
      <c r="M47" s="263">
        <v>27.59</v>
      </c>
      <c r="N47" s="67">
        <v>500.93200000000002</v>
      </c>
      <c r="O47" s="67">
        <v>16.739999999999998</v>
      </c>
      <c r="P47" s="67">
        <v>22.545999999999999</v>
      </c>
      <c r="Q47" s="67">
        <v>64.7</v>
      </c>
      <c r="R47" s="67">
        <v>170.24600000000001</v>
      </c>
      <c r="S47" s="67">
        <v>34.659999999999997</v>
      </c>
      <c r="T47" s="67">
        <f>22.55+1761.83</f>
        <v>1784.3799999999999</v>
      </c>
      <c r="U47" s="67">
        <f>446.36+1761.83</f>
        <v>2208.19</v>
      </c>
      <c r="V47" s="67">
        <v>0</v>
      </c>
      <c r="W47" s="67">
        <v>2740.16</v>
      </c>
      <c r="X47" s="67">
        <v>0</v>
      </c>
      <c r="Y47" s="67">
        <v>413.44</v>
      </c>
      <c r="Z47" s="67">
        <v>22.545999999999999</v>
      </c>
      <c r="AA47" s="67">
        <v>0</v>
      </c>
      <c r="AB47" s="67">
        <v>22.545999999999999</v>
      </c>
      <c r="AC47" s="67">
        <v>0</v>
      </c>
      <c r="AD47" s="67">
        <v>22.545999999999999</v>
      </c>
      <c r="AE47" s="67">
        <v>0</v>
      </c>
      <c r="AF47" s="67">
        <v>5560.2190000000001</v>
      </c>
      <c r="AG47" s="67">
        <v>0</v>
      </c>
      <c r="AH47" s="64" t="s">
        <v>396</v>
      </c>
      <c r="AI47" s="23"/>
    </row>
    <row r="48" spans="1:35" s="22" customFormat="1" ht="51.75" hidden="1" customHeight="1" x14ac:dyDescent="0.25">
      <c r="A48" s="554"/>
      <c r="B48" s="602"/>
      <c r="C48" s="124" t="s">
        <v>276</v>
      </c>
      <c r="D48" s="74">
        <f>SUM(J48,L48,N48,P48,R48,T48,V48,X48,Z48,AB48,AD48,AF48)</f>
        <v>0</v>
      </c>
      <c r="E48" s="74">
        <f>J48</f>
        <v>0</v>
      </c>
      <c r="F48" s="74">
        <f>G48</f>
        <v>0</v>
      </c>
      <c r="G48" s="74">
        <f>SUM(K48,M48,O48,Q48,S48,U48,W48,Y48,AA48,AC48,AE48,AG48)</f>
        <v>0</v>
      </c>
      <c r="H48" s="74">
        <f t="shared" si="13"/>
        <v>0</v>
      </c>
      <c r="I48" s="74">
        <f t="shared" si="14"/>
        <v>0</v>
      </c>
      <c r="J48" s="67">
        <v>0</v>
      </c>
      <c r="K48" s="67">
        <v>0</v>
      </c>
      <c r="L48" s="67">
        <v>0</v>
      </c>
      <c r="M48" s="67">
        <v>0</v>
      </c>
      <c r="N48" s="67">
        <v>0</v>
      </c>
      <c r="O48" s="67">
        <v>0</v>
      </c>
      <c r="P48" s="67">
        <v>0</v>
      </c>
      <c r="Q48" s="67">
        <v>0</v>
      </c>
      <c r="R48" s="67">
        <v>0</v>
      </c>
      <c r="S48" s="67">
        <v>0</v>
      </c>
      <c r="T48" s="67">
        <v>0</v>
      </c>
      <c r="U48" s="67">
        <v>0</v>
      </c>
      <c r="V48" s="67">
        <v>0</v>
      </c>
      <c r="W48" s="67">
        <v>0</v>
      </c>
      <c r="X48" s="67">
        <v>0</v>
      </c>
      <c r="Y48" s="67">
        <v>0</v>
      </c>
      <c r="Z48" s="67">
        <v>0</v>
      </c>
      <c r="AA48" s="67">
        <v>0</v>
      </c>
      <c r="AB48" s="67">
        <v>0</v>
      </c>
      <c r="AC48" s="67">
        <v>0</v>
      </c>
      <c r="AD48" s="67">
        <v>0</v>
      </c>
      <c r="AE48" s="67">
        <v>0</v>
      </c>
      <c r="AF48" s="67">
        <v>0</v>
      </c>
      <c r="AG48" s="67">
        <v>0</v>
      </c>
      <c r="AH48" s="64"/>
      <c r="AI48" s="20"/>
    </row>
    <row r="49" spans="1:35" s="21" customFormat="1" ht="52.5" customHeight="1" x14ac:dyDescent="0.25">
      <c r="A49" s="553"/>
      <c r="B49" s="600" t="s">
        <v>298</v>
      </c>
      <c r="C49" s="123" t="s">
        <v>20</v>
      </c>
      <c r="D49" s="70">
        <f>D50+D51+D52+D53</f>
        <v>1798.1</v>
      </c>
      <c r="E49" s="70">
        <f t="shared" ref="E49:G49" si="32">E50+E51+E52+E53</f>
        <v>0</v>
      </c>
      <c r="F49" s="70">
        <f t="shared" si="32"/>
        <v>1509.38</v>
      </c>
      <c r="G49" s="70">
        <f t="shared" si="32"/>
        <v>1509.38</v>
      </c>
      <c r="H49" s="70">
        <f t="shared" si="13"/>
        <v>83.943050998275965</v>
      </c>
      <c r="I49" s="70">
        <f t="shared" si="14"/>
        <v>0</v>
      </c>
      <c r="J49" s="70">
        <f t="shared" ref="J49:AF49" si="33">J50+J51+J52+J53</f>
        <v>0</v>
      </c>
      <c r="K49" s="70">
        <f t="shared" si="33"/>
        <v>0</v>
      </c>
      <c r="L49" s="70">
        <f t="shared" si="33"/>
        <v>0</v>
      </c>
      <c r="M49" s="70">
        <f t="shared" si="33"/>
        <v>0</v>
      </c>
      <c r="N49" s="70">
        <f t="shared" si="33"/>
        <v>0</v>
      </c>
      <c r="O49" s="70">
        <f t="shared" si="33"/>
        <v>0</v>
      </c>
      <c r="P49" s="70">
        <f t="shared" si="33"/>
        <v>0</v>
      </c>
      <c r="Q49" s="70">
        <f t="shared" si="33"/>
        <v>0</v>
      </c>
      <c r="R49" s="70">
        <f t="shared" si="33"/>
        <v>343.12700000000001</v>
      </c>
      <c r="S49" s="70">
        <f t="shared" si="33"/>
        <v>0</v>
      </c>
      <c r="T49" s="70">
        <f t="shared" si="33"/>
        <v>484.99099999999999</v>
      </c>
      <c r="U49" s="70">
        <f t="shared" si="33"/>
        <v>620.38</v>
      </c>
      <c r="V49" s="70">
        <f t="shared" si="33"/>
        <v>484.99099999999999</v>
      </c>
      <c r="W49" s="70">
        <f t="shared" si="33"/>
        <v>435.61</v>
      </c>
      <c r="X49" s="70">
        <f t="shared" si="33"/>
        <v>484.99099999999999</v>
      </c>
      <c r="Y49" s="70">
        <f t="shared" si="33"/>
        <v>453.39</v>
      </c>
      <c r="Z49" s="70">
        <f t="shared" si="33"/>
        <v>0</v>
      </c>
      <c r="AA49" s="70">
        <f t="shared" si="33"/>
        <v>0</v>
      </c>
      <c r="AB49" s="70">
        <f t="shared" si="33"/>
        <v>0</v>
      </c>
      <c r="AC49" s="70">
        <f t="shared" si="33"/>
        <v>0</v>
      </c>
      <c r="AD49" s="70">
        <f t="shared" si="33"/>
        <v>0</v>
      </c>
      <c r="AE49" s="70">
        <f t="shared" si="33"/>
        <v>0</v>
      </c>
      <c r="AF49" s="70">
        <f t="shared" si="33"/>
        <v>0</v>
      </c>
      <c r="AG49" s="70">
        <f>AG50+AG51+AG52+AG53</f>
        <v>0</v>
      </c>
      <c r="AH49" s="60"/>
      <c r="AI49" s="23"/>
    </row>
    <row r="50" spans="1:35" s="21" customFormat="1" ht="42.75" hidden="1" customHeight="1" x14ac:dyDescent="0.25">
      <c r="A50" s="549"/>
      <c r="B50" s="601"/>
      <c r="C50" s="124" t="s">
        <v>52</v>
      </c>
      <c r="D50" s="74">
        <f>SUM(J50,L50,N50,P50,R50,T50,V50,X50,Z50,AB50,AD50,AF50)</f>
        <v>0</v>
      </c>
      <c r="E50" s="74">
        <f>J50</f>
        <v>0</v>
      </c>
      <c r="F50" s="74">
        <f>G50</f>
        <v>0</v>
      </c>
      <c r="G50" s="74">
        <f>SUM(K50,M50,O50,Q50,S50,U50,W50,Y50,AA50,AC50,AE50,AG50)</f>
        <v>0</v>
      </c>
      <c r="H50" s="74">
        <f t="shared" si="13"/>
        <v>0</v>
      </c>
      <c r="I50" s="74">
        <f t="shared" si="14"/>
        <v>0</v>
      </c>
      <c r="J50" s="74">
        <v>0</v>
      </c>
      <c r="K50" s="74">
        <v>0</v>
      </c>
      <c r="L50" s="74">
        <v>0</v>
      </c>
      <c r="M50" s="74">
        <v>0</v>
      </c>
      <c r="N50" s="74">
        <v>0</v>
      </c>
      <c r="O50" s="74">
        <v>0</v>
      </c>
      <c r="P50" s="74">
        <v>0</v>
      </c>
      <c r="Q50" s="74">
        <v>0</v>
      </c>
      <c r="R50" s="74">
        <v>0</v>
      </c>
      <c r="S50" s="74">
        <v>0</v>
      </c>
      <c r="T50" s="74">
        <v>0</v>
      </c>
      <c r="U50" s="74">
        <v>0</v>
      </c>
      <c r="V50" s="74">
        <v>0</v>
      </c>
      <c r="W50" s="74">
        <v>0</v>
      </c>
      <c r="X50" s="74">
        <v>0</v>
      </c>
      <c r="Y50" s="74">
        <v>0</v>
      </c>
      <c r="Z50" s="74">
        <v>0</v>
      </c>
      <c r="AA50" s="74">
        <v>0</v>
      </c>
      <c r="AB50" s="74">
        <v>0</v>
      </c>
      <c r="AC50" s="74">
        <v>0</v>
      </c>
      <c r="AD50" s="74">
        <v>0</v>
      </c>
      <c r="AE50" s="74">
        <v>0</v>
      </c>
      <c r="AF50" s="74">
        <v>0</v>
      </c>
      <c r="AG50" s="74">
        <v>0</v>
      </c>
      <c r="AH50" s="60"/>
      <c r="AI50" s="23"/>
    </row>
    <row r="51" spans="1:35" s="21" customFormat="1" ht="54" hidden="1" customHeight="1" x14ac:dyDescent="0.25">
      <c r="A51" s="549"/>
      <c r="B51" s="601"/>
      <c r="C51" s="124" t="s">
        <v>22</v>
      </c>
      <c r="D51" s="74">
        <f>SUM(J51,L51,N51,P51,R51,T51,V51,X51,Z51,AB51,AD51,AF51)</f>
        <v>0</v>
      </c>
      <c r="E51" s="74">
        <f>J51</f>
        <v>0</v>
      </c>
      <c r="F51" s="74">
        <f>G51</f>
        <v>0</v>
      </c>
      <c r="G51" s="74">
        <f>SUM(K51,M51,O51,Q51,S51,U51,W51,Y51,AA51,AC51,AE51,AG51)</f>
        <v>0</v>
      </c>
      <c r="H51" s="74">
        <f t="shared" si="13"/>
        <v>0</v>
      </c>
      <c r="I51" s="74">
        <f t="shared" si="14"/>
        <v>0</v>
      </c>
      <c r="J51" s="67">
        <v>0</v>
      </c>
      <c r="K51" s="67">
        <v>0</v>
      </c>
      <c r="L51" s="67">
        <v>0</v>
      </c>
      <c r="M51" s="67">
        <v>0</v>
      </c>
      <c r="N51" s="67">
        <v>0</v>
      </c>
      <c r="O51" s="67">
        <v>0</v>
      </c>
      <c r="P51" s="67">
        <v>0</v>
      </c>
      <c r="Q51" s="67">
        <v>0</v>
      </c>
      <c r="R51" s="67">
        <v>0</v>
      </c>
      <c r="S51" s="67">
        <v>0</v>
      </c>
      <c r="T51" s="67">
        <v>0</v>
      </c>
      <c r="U51" s="67">
        <v>0</v>
      </c>
      <c r="V51" s="67">
        <v>0</v>
      </c>
      <c r="W51" s="67">
        <v>0</v>
      </c>
      <c r="X51" s="67">
        <v>0</v>
      </c>
      <c r="Y51" s="67">
        <v>0</v>
      </c>
      <c r="Z51" s="67">
        <v>0</v>
      </c>
      <c r="AA51" s="67">
        <v>0</v>
      </c>
      <c r="AB51" s="67">
        <v>0</v>
      </c>
      <c r="AC51" s="67">
        <v>0</v>
      </c>
      <c r="AD51" s="67">
        <v>0</v>
      </c>
      <c r="AE51" s="67">
        <v>0</v>
      </c>
      <c r="AF51" s="67">
        <v>0</v>
      </c>
      <c r="AG51" s="67">
        <v>0</v>
      </c>
      <c r="AH51" s="60"/>
      <c r="AI51" s="23"/>
    </row>
    <row r="52" spans="1:35" s="21" customFormat="1" ht="119.25" customHeight="1" x14ac:dyDescent="0.25">
      <c r="A52" s="549"/>
      <c r="B52" s="601"/>
      <c r="C52" s="124" t="s">
        <v>21</v>
      </c>
      <c r="D52" s="74">
        <f>SUM(J52,L52,N52,P52,R52,T52,V52,X52,Z52,AB52,AD52,AF52)</f>
        <v>1798.1</v>
      </c>
      <c r="E52" s="74">
        <f>J52</f>
        <v>0</v>
      </c>
      <c r="F52" s="74">
        <f>G52</f>
        <v>1509.38</v>
      </c>
      <c r="G52" s="74">
        <f>SUM(K52,M52,O52,Q52,S52,U52,W52,Y52,AA52,AC52,AE52,AG52)</f>
        <v>1509.38</v>
      </c>
      <c r="H52" s="74">
        <f t="shared" si="13"/>
        <v>83.943050998275965</v>
      </c>
      <c r="I52" s="74">
        <f t="shared" si="14"/>
        <v>0</v>
      </c>
      <c r="J52" s="67">
        <v>0</v>
      </c>
      <c r="K52" s="67">
        <v>0</v>
      </c>
      <c r="L52" s="67">
        <v>0</v>
      </c>
      <c r="M52" s="67">
        <v>0</v>
      </c>
      <c r="N52" s="67">
        <v>0</v>
      </c>
      <c r="O52" s="67">
        <v>0</v>
      </c>
      <c r="P52" s="67">
        <v>0</v>
      </c>
      <c r="Q52" s="67">
        <v>0</v>
      </c>
      <c r="R52" s="67">
        <v>343.12700000000001</v>
      </c>
      <c r="S52" s="67">
        <v>0</v>
      </c>
      <c r="T52" s="67">
        <v>484.99099999999999</v>
      </c>
      <c r="U52" s="67">
        <v>620.38</v>
      </c>
      <c r="V52" s="67">
        <v>484.99099999999999</v>
      </c>
      <c r="W52" s="67">
        <v>435.61</v>
      </c>
      <c r="X52" s="67">
        <v>484.99099999999999</v>
      </c>
      <c r="Y52" s="67">
        <v>453.39</v>
      </c>
      <c r="Z52" s="67">
        <v>0</v>
      </c>
      <c r="AA52" s="67">
        <v>0</v>
      </c>
      <c r="AB52" s="67">
        <v>0</v>
      </c>
      <c r="AC52" s="67">
        <v>0</v>
      </c>
      <c r="AD52" s="67">
        <v>0</v>
      </c>
      <c r="AE52" s="67">
        <v>0</v>
      </c>
      <c r="AF52" s="67">
        <v>0</v>
      </c>
      <c r="AG52" s="67">
        <v>0</v>
      </c>
      <c r="AH52" s="60"/>
      <c r="AI52" s="23"/>
    </row>
    <row r="53" spans="1:35" s="22" customFormat="1" ht="51" hidden="1" customHeight="1" x14ac:dyDescent="0.25">
      <c r="A53" s="554"/>
      <c r="B53" s="602"/>
      <c r="C53" s="124" t="s">
        <v>276</v>
      </c>
      <c r="D53" s="74">
        <f>SUM(J53,L53,N53,P53,R53,T53,V53,X53,Z53,AB53,AD53,AF53)</f>
        <v>0</v>
      </c>
      <c r="E53" s="74">
        <f>J53</f>
        <v>0</v>
      </c>
      <c r="F53" s="74">
        <f>G53</f>
        <v>0</v>
      </c>
      <c r="G53" s="74">
        <f>SUM(K53,M53,O53,Q53,S53,U53,W53,Y53,AA53,AC53,AE53,AG53)</f>
        <v>0</v>
      </c>
      <c r="H53" s="74">
        <f t="shared" si="13"/>
        <v>0</v>
      </c>
      <c r="I53" s="74">
        <f t="shared" si="14"/>
        <v>0</v>
      </c>
      <c r="J53" s="67">
        <v>0</v>
      </c>
      <c r="K53" s="67">
        <v>0</v>
      </c>
      <c r="L53" s="67">
        <v>0</v>
      </c>
      <c r="M53" s="67">
        <v>0</v>
      </c>
      <c r="N53" s="67">
        <v>0</v>
      </c>
      <c r="O53" s="67">
        <v>0</v>
      </c>
      <c r="P53" s="67">
        <v>0</v>
      </c>
      <c r="Q53" s="67">
        <v>0</v>
      </c>
      <c r="R53" s="67">
        <v>0</v>
      </c>
      <c r="S53" s="67">
        <v>0</v>
      </c>
      <c r="T53" s="67">
        <v>0</v>
      </c>
      <c r="U53" s="67">
        <v>0</v>
      </c>
      <c r="V53" s="67">
        <v>0</v>
      </c>
      <c r="W53" s="67">
        <v>0</v>
      </c>
      <c r="X53" s="67">
        <v>0</v>
      </c>
      <c r="Y53" s="67">
        <v>0</v>
      </c>
      <c r="Z53" s="67">
        <v>0</v>
      </c>
      <c r="AA53" s="67">
        <v>0</v>
      </c>
      <c r="AB53" s="67">
        <v>0</v>
      </c>
      <c r="AC53" s="67">
        <v>0</v>
      </c>
      <c r="AD53" s="67">
        <v>0</v>
      </c>
      <c r="AE53" s="67">
        <v>0</v>
      </c>
      <c r="AF53" s="67">
        <v>0</v>
      </c>
      <c r="AG53" s="67">
        <v>0</v>
      </c>
      <c r="AH53" s="64"/>
      <c r="AI53" s="20"/>
    </row>
    <row r="54" spans="1:35" s="21" customFormat="1" ht="40.5" customHeight="1" x14ac:dyDescent="0.25">
      <c r="A54" s="603" t="s">
        <v>279</v>
      </c>
      <c r="B54" s="575" t="s">
        <v>280</v>
      </c>
      <c r="C54" s="123" t="s">
        <v>20</v>
      </c>
      <c r="D54" s="70">
        <f>D56+D57+D55+D58</f>
        <v>3491.4</v>
      </c>
      <c r="E54" s="70">
        <f t="shared" ref="E54:G54" si="34">E56+E57+E55+E58</f>
        <v>3491.4</v>
      </c>
      <c r="F54" s="70">
        <f t="shared" si="34"/>
        <v>0</v>
      </c>
      <c r="G54" s="70">
        <f t="shared" si="34"/>
        <v>0</v>
      </c>
      <c r="H54" s="70">
        <f t="shared" si="13"/>
        <v>0</v>
      </c>
      <c r="I54" s="70">
        <f t="shared" si="14"/>
        <v>0</v>
      </c>
      <c r="J54" s="70">
        <f t="shared" ref="J54:AF54" si="35">J55+J56+J57+J58</f>
        <v>3491.4</v>
      </c>
      <c r="K54" s="70">
        <f t="shared" si="35"/>
        <v>0</v>
      </c>
      <c r="L54" s="70">
        <f t="shared" si="35"/>
        <v>0</v>
      </c>
      <c r="M54" s="70">
        <f t="shared" si="35"/>
        <v>0</v>
      </c>
      <c r="N54" s="70">
        <f t="shared" si="35"/>
        <v>0</v>
      </c>
      <c r="O54" s="70">
        <f t="shared" si="35"/>
        <v>0</v>
      </c>
      <c r="P54" s="70">
        <f t="shared" si="35"/>
        <v>0</v>
      </c>
      <c r="Q54" s="70">
        <f t="shared" si="35"/>
        <v>0</v>
      </c>
      <c r="R54" s="70">
        <f t="shared" si="35"/>
        <v>0</v>
      </c>
      <c r="S54" s="70">
        <f t="shared" si="35"/>
        <v>0</v>
      </c>
      <c r="T54" s="70">
        <f t="shared" si="35"/>
        <v>0</v>
      </c>
      <c r="U54" s="70">
        <f t="shared" si="35"/>
        <v>0</v>
      </c>
      <c r="V54" s="70">
        <f t="shared" si="35"/>
        <v>0</v>
      </c>
      <c r="W54" s="70">
        <f t="shared" si="35"/>
        <v>0</v>
      </c>
      <c r="X54" s="70">
        <f t="shared" si="35"/>
        <v>0</v>
      </c>
      <c r="Y54" s="70">
        <f t="shared" si="35"/>
        <v>0</v>
      </c>
      <c r="Z54" s="70">
        <f t="shared" si="35"/>
        <v>0</v>
      </c>
      <c r="AA54" s="70">
        <f t="shared" si="35"/>
        <v>0</v>
      </c>
      <c r="AB54" s="70">
        <f t="shared" si="35"/>
        <v>0</v>
      </c>
      <c r="AC54" s="70">
        <f t="shared" si="35"/>
        <v>0</v>
      </c>
      <c r="AD54" s="70">
        <f t="shared" si="35"/>
        <v>0</v>
      </c>
      <c r="AE54" s="70">
        <f t="shared" si="35"/>
        <v>0</v>
      </c>
      <c r="AF54" s="70">
        <f t="shared" si="35"/>
        <v>0</v>
      </c>
      <c r="AG54" s="70">
        <f>AG55+AG56+AG57+AG58</f>
        <v>0</v>
      </c>
      <c r="AH54" s="60"/>
      <c r="AI54" s="23"/>
    </row>
    <row r="55" spans="1:35" s="21" customFormat="1" ht="42.75" hidden="1" customHeight="1" x14ac:dyDescent="0.25">
      <c r="A55" s="540"/>
      <c r="B55" s="576"/>
      <c r="C55" s="124" t="s">
        <v>52</v>
      </c>
      <c r="D55" s="74">
        <f>SUM(J55,L55,N55,P55,R55,T55,V55,X55,Z55,AB55,AD55,AF55)</f>
        <v>0</v>
      </c>
      <c r="E55" s="74">
        <f>J55</f>
        <v>0</v>
      </c>
      <c r="F55" s="74">
        <f>G55</f>
        <v>0</v>
      </c>
      <c r="G55" s="74">
        <f>SUM(K55,M55,O55,Q55,S55,U55,W55,Y55,AA55,AC55,AE55,AG55)</f>
        <v>0</v>
      </c>
      <c r="H55" s="74">
        <f t="shared" si="13"/>
        <v>0</v>
      </c>
      <c r="I55" s="74">
        <f t="shared" si="14"/>
        <v>0</v>
      </c>
      <c r="J55" s="74">
        <v>0</v>
      </c>
      <c r="K55" s="74">
        <v>0</v>
      </c>
      <c r="L55" s="74">
        <v>0</v>
      </c>
      <c r="M55" s="74">
        <v>0</v>
      </c>
      <c r="N55" s="74">
        <v>0</v>
      </c>
      <c r="O55" s="74">
        <v>0</v>
      </c>
      <c r="P55" s="74">
        <v>0</v>
      </c>
      <c r="Q55" s="74">
        <v>0</v>
      </c>
      <c r="R55" s="74">
        <v>0</v>
      </c>
      <c r="S55" s="74">
        <v>0</v>
      </c>
      <c r="T55" s="74">
        <v>0</v>
      </c>
      <c r="U55" s="74">
        <v>0</v>
      </c>
      <c r="V55" s="74">
        <v>0</v>
      </c>
      <c r="W55" s="74">
        <v>0</v>
      </c>
      <c r="X55" s="74">
        <v>0</v>
      </c>
      <c r="Y55" s="74">
        <v>0</v>
      </c>
      <c r="Z55" s="74">
        <v>0</v>
      </c>
      <c r="AA55" s="74">
        <v>0</v>
      </c>
      <c r="AB55" s="74">
        <v>0</v>
      </c>
      <c r="AC55" s="74">
        <v>0</v>
      </c>
      <c r="AD55" s="74">
        <v>0</v>
      </c>
      <c r="AE55" s="74">
        <v>0</v>
      </c>
      <c r="AF55" s="74">
        <v>0</v>
      </c>
      <c r="AG55" s="74">
        <v>0</v>
      </c>
      <c r="AH55" s="60"/>
      <c r="AI55" s="23"/>
    </row>
    <row r="56" spans="1:35" s="21" customFormat="1" ht="48.75" hidden="1" customHeight="1" x14ac:dyDescent="0.25">
      <c r="A56" s="540"/>
      <c r="B56" s="576"/>
      <c r="C56" s="124" t="s">
        <v>22</v>
      </c>
      <c r="D56" s="74">
        <f>SUM(J56,L56,N56,P56,R56,T56,V56,X56,Z56,AB56,AD56,AF56)</f>
        <v>0</v>
      </c>
      <c r="E56" s="74">
        <f>J56</f>
        <v>0</v>
      </c>
      <c r="F56" s="74">
        <f>G56</f>
        <v>0</v>
      </c>
      <c r="G56" s="74">
        <f>SUM(K56,M56,O56,Q56,S56,U56,W56,Y56,AA56,AC56,AE56,AG56)</f>
        <v>0</v>
      </c>
      <c r="H56" s="74">
        <f t="shared" si="13"/>
        <v>0</v>
      </c>
      <c r="I56" s="74">
        <f t="shared" si="14"/>
        <v>0</v>
      </c>
      <c r="J56" s="67">
        <v>0</v>
      </c>
      <c r="K56" s="67">
        <v>0</v>
      </c>
      <c r="L56" s="67">
        <v>0</v>
      </c>
      <c r="M56" s="67">
        <v>0</v>
      </c>
      <c r="N56" s="67">
        <v>0</v>
      </c>
      <c r="O56" s="67">
        <v>0</v>
      </c>
      <c r="P56" s="67">
        <v>0</v>
      </c>
      <c r="Q56" s="67">
        <v>0</v>
      </c>
      <c r="R56" s="67">
        <v>0</v>
      </c>
      <c r="S56" s="67">
        <v>0</v>
      </c>
      <c r="T56" s="67">
        <v>0</v>
      </c>
      <c r="U56" s="67">
        <v>0</v>
      </c>
      <c r="V56" s="67">
        <v>0</v>
      </c>
      <c r="W56" s="67">
        <v>0</v>
      </c>
      <c r="X56" s="67">
        <v>0</v>
      </c>
      <c r="Y56" s="67">
        <v>0</v>
      </c>
      <c r="Z56" s="67">
        <v>0</v>
      </c>
      <c r="AA56" s="67">
        <v>0</v>
      </c>
      <c r="AB56" s="67">
        <v>0</v>
      </c>
      <c r="AC56" s="67">
        <v>0</v>
      </c>
      <c r="AD56" s="67">
        <v>0</v>
      </c>
      <c r="AE56" s="67">
        <v>0</v>
      </c>
      <c r="AF56" s="67">
        <v>0</v>
      </c>
      <c r="AG56" s="67">
        <v>0</v>
      </c>
      <c r="AH56" s="60"/>
      <c r="AI56" s="23"/>
    </row>
    <row r="57" spans="1:35" s="22" customFormat="1" ht="78.75" customHeight="1" x14ac:dyDescent="0.25">
      <c r="A57" s="540"/>
      <c r="B57" s="576"/>
      <c r="C57" s="124" t="s">
        <v>21</v>
      </c>
      <c r="D57" s="74">
        <f>SUM(J57,L57,N57,P57,R57,T57,V57,X57,Z57,AB57,AD57,AF57)</f>
        <v>3491.4</v>
      </c>
      <c r="E57" s="74">
        <f>J57</f>
        <v>3491.4</v>
      </c>
      <c r="F57" s="74">
        <f>G57</f>
        <v>0</v>
      </c>
      <c r="G57" s="74">
        <f>SUM(K57,M57,O57,Q57,S57,U57,W57,Y57,AA57,AC57,AE57,AG57)</f>
        <v>0</v>
      </c>
      <c r="H57" s="74">
        <f t="shared" si="13"/>
        <v>0</v>
      </c>
      <c r="I57" s="74">
        <f t="shared" si="14"/>
        <v>0</v>
      </c>
      <c r="J57" s="67">
        <v>3491.4</v>
      </c>
      <c r="K57" s="67">
        <v>0</v>
      </c>
      <c r="L57" s="67">
        <v>0</v>
      </c>
      <c r="M57" s="67">
        <v>0</v>
      </c>
      <c r="N57" s="67">
        <v>0</v>
      </c>
      <c r="O57" s="67">
        <v>0</v>
      </c>
      <c r="P57" s="67">
        <v>0</v>
      </c>
      <c r="Q57" s="67">
        <v>0</v>
      </c>
      <c r="R57" s="67">
        <v>0</v>
      </c>
      <c r="S57" s="67">
        <v>0</v>
      </c>
      <c r="T57" s="67">
        <v>0</v>
      </c>
      <c r="U57" s="67">
        <v>0</v>
      </c>
      <c r="V57" s="67">
        <v>0</v>
      </c>
      <c r="W57" s="67">
        <v>0</v>
      </c>
      <c r="X57" s="67">
        <v>0</v>
      </c>
      <c r="Y57" s="67">
        <v>0</v>
      </c>
      <c r="Z57" s="67">
        <v>0</v>
      </c>
      <c r="AA57" s="67">
        <v>0</v>
      </c>
      <c r="AB57" s="67">
        <v>0</v>
      </c>
      <c r="AC57" s="67">
        <v>0</v>
      </c>
      <c r="AD57" s="67">
        <v>0</v>
      </c>
      <c r="AE57" s="67">
        <v>0</v>
      </c>
      <c r="AF57" s="67">
        <v>0</v>
      </c>
      <c r="AG57" s="67">
        <v>0</v>
      </c>
      <c r="AH57" s="64"/>
      <c r="AI57" s="20"/>
    </row>
    <row r="58" spans="1:35" s="22" customFormat="1" ht="46.5" hidden="1" customHeight="1" x14ac:dyDescent="0.25">
      <c r="A58" s="604"/>
      <c r="B58" s="605"/>
      <c r="C58" s="124" t="s">
        <v>276</v>
      </c>
      <c r="D58" s="74">
        <f>SUM(J58,L58,N58,P58,R58,T58,V58,X58,Z58,AB58,AD58,AF58)</f>
        <v>0</v>
      </c>
      <c r="E58" s="74">
        <f>J58</f>
        <v>0</v>
      </c>
      <c r="F58" s="74">
        <f>G58</f>
        <v>0</v>
      </c>
      <c r="G58" s="74">
        <f>SUM(K58,M58,O58,Q58,S58,U58,W58,Y58,AA58,AC58,AE58,AG58)</f>
        <v>0</v>
      </c>
      <c r="H58" s="74">
        <f t="shared" si="13"/>
        <v>0</v>
      </c>
      <c r="I58" s="74">
        <f t="shared" si="14"/>
        <v>0</v>
      </c>
      <c r="J58" s="67">
        <v>0</v>
      </c>
      <c r="K58" s="67">
        <v>0</v>
      </c>
      <c r="L58" s="67">
        <v>0</v>
      </c>
      <c r="M58" s="67">
        <v>0</v>
      </c>
      <c r="N58" s="67">
        <v>0</v>
      </c>
      <c r="O58" s="67">
        <v>0</v>
      </c>
      <c r="P58" s="67">
        <v>0</v>
      </c>
      <c r="Q58" s="67">
        <v>0</v>
      </c>
      <c r="R58" s="67">
        <v>0</v>
      </c>
      <c r="S58" s="67">
        <v>0</v>
      </c>
      <c r="T58" s="67">
        <v>0</v>
      </c>
      <c r="U58" s="67">
        <v>0</v>
      </c>
      <c r="V58" s="67">
        <v>0</v>
      </c>
      <c r="W58" s="67">
        <v>0</v>
      </c>
      <c r="X58" s="67">
        <v>0</v>
      </c>
      <c r="Y58" s="67">
        <v>0</v>
      </c>
      <c r="Z58" s="67">
        <v>0</v>
      </c>
      <c r="AA58" s="67">
        <v>0</v>
      </c>
      <c r="AB58" s="67">
        <v>0</v>
      </c>
      <c r="AC58" s="67">
        <v>0</v>
      </c>
      <c r="AD58" s="67">
        <v>0</v>
      </c>
      <c r="AE58" s="67">
        <v>0</v>
      </c>
      <c r="AF58" s="67">
        <v>0</v>
      </c>
      <c r="AG58" s="67">
        <v>0</v>
      </c>
      <c r="AH58" s="64"/>
      <c r="AI58" s="20"/>
    </row>
    <row r="59" spans="1:35" s="22" customFormat="1" ht="18.75" customHeight="1" x14ac:dyDescent="0.25">
      <c r="A59" s="156" t="s">
        <v>153</v>
      </c>
      <c r="B59" s="596" t="s">
        <v>281</v>
      </c>
      <c r="C59" s="597"/>
      <c r="D59" s="597"/>
      <c r="E59" s="597"/>
      <c r="F59" s="597"/>
      <c r="G59" s="597"/>
      <c r="H59" s="597"/>
      <c r="I59" s="597"/>
      <c r="J59" s="597"/>
      <c r="K59" s="597"/>
      <c r="L59" s="597"/>
      <c r="M59" s="597"/>
      <c r="N59" s="597"/>
      <c r="O59" s="597"/>
      <c r="P59" s="597"/>
      <c r="Q59" s="597"/>
      <c r="R59" s="597"/>
      <c r="S59" s="597"/>
      <c r="T59" s="597"/>
      <c r="U59" s="597"/>
      <c r="V59" s="597"/>
      <c r="W59" s="597"/>
      <c r="X59" s="597"/>
      <c r="Y59" s="597"/>
      <c r="Z59" s="597"/>
      <c r="AA59" s="597"/>
      <c r="AB59" s="597"/>
      <c r="AC59" s="597"/>
      <c r="AD59" s="597"/>
      <c r="AE59" s="597"/>
      <c r="AF59" s="597"/>
      <c r="AG59" s="598"/>
      <c r="AH59" s="46"/>
    </row>
    <row r="60" spans="1:35" s="21" customFormat="1" ht="21" customHeight="1" x14ac:dyDescent="0.25">
      <c r="A60" s="539" t="s">
        <v>154</v>
      </c>
      <c r="B60" s="578" t="s">
        <v>282</v>
      </c>
      <c r="C60" s="123" t="s">
        <v>20</v>
      </c>
      <c r="D60" s="70">
        <f>D61+D62+D63+D64</f>
        <v>36868.422000000006</v>
      </c>
      <c r="E60" s="70">
        <f t="shared" ref="E60:G60" si="36">E61+E62+E63+E64</f>
        <v>4810.9960000000001</v>
      </c>
      <c r="F60" s="70">
        <f t="shared" si="36"/>
        <v>25203.43</v>
      </c>
      <c r="G60" s="70">
        <f t="shared" si="36"/>
        <v>25203.43</v>
      </c>
      <c r="H60" s="70">
        <f t="shared" si="13"/>
        <v>68.360479328353136</v>
      </c>
      <c r="I60" s="70">
        <f t="shared" si="14"/>
        <v>523.87135636778748</v>
      </c>
      <c r="J60" s="70">
        <f t="shared" ref="J60:AF60" si="37">J61+J62+J63+J64</f>
        <v>4810.9960000000001</v>
      </c>
      <c r="K60" s="70">
        <f t="shared" si="37"/>
        <v>2573.06</v>
      </c>
      <c r="L60" s="70">
        <f t="shared" si="37"/>
        <v>7661.8320000000003</v>
      </c>
      <c r="M60" s="70">
        <f t="shared" si="37"/>
        <v>6430.1100000000006</v>
      </c>
      <c r="N60" s="70">
        <f t="shared" si="37"/>
        <v>3098.8850000000002</v>
      </c>
      <c r="O60" s="70">
        <f t="shared" si="37"/>
        <v>3438.25</v>
      </c>
      <c r="P60" s="70">
        <f t="shared" si="37"/>
        <v>5802.4110000000001</v>
      </c>
      <c r="Q60" s="70">
        <f t="shared" si="37"/>
        <v>3412.54</v>
      </c>
      <c r="R60" s="70">
        <f t="shared" si="37"/>
        <v>5294.6540000000005</v>
      </c>
      <c r="S60" s="70">
        <f t="shared" si="37"/>
        <v>3962.2599999999998</v>
      </c>
      <c r="T60" s="70">
        <f t="shared" si="37"/>
        <v>1496.7940000000001</v>
      </c>
      <c r="U60" s="70">
        <f t="shared" si="37"/>
        <v>1374.12</v>
      </c>
      <c r="V60" s="70">
        <f t="shared" si="37"/>
        <v>2626.395</v>
      </c>
      <c r="W60" s="70">
        <f t="shared" si="37"/>
        <v>2438.25</v>
      </c>
      <c r="X60" s="70">
        <f t="shared" si="37"/>
        <v>79.667000000000002</v>
      </c>
      <c r="Y60" s="70">
        <f t="shared" si="37"/>
        <v>1574.8400000000001</v>
      </c>
      <c r="Z60" s="70">
        <f t="shared" si="37"/>
        <v>4799.6869999999999</v>
      </c>
      <c r="AA60" s="70">
        <f t="shared" si="37"/>
        <v>0</v>
      </c>
      <c r="AB60" s="70">
        <f t="shared" si="37"/>
        <v>500.267</v>
      </c>
      <c r="AC60" s="70">
        <f t="shared" si="37"/>
        <v>0</v>
      </c>
      <c r="AD60" s="70">
        <f t="shared" si="37"/>
        <v>682.56700000000001</v>
      </c>
      <c r="AE60" s="70">
        <f t="shared" si="37"/>
        <v>0</v>
      </c>
      <c r="AF60" s="70">
        <f t="shared" si="37"/>
        <v>14.266999999999999</v>
      </c>
      <c r="AG60" s="70">
        <f>AG61+AG62+AG63+AG64</f>
        <v>0</v>
      </c>
      <c r="AH60" s="60"/>
      <c r="AI60" s="23"/>
    </row>
    <row r="61" spans="1:35" s="21" customFormat="1" ht="21" hidden="1" customHeight="1" x14ac:dyDescent="0.25">
      <c r="A61" s="540"/>
      <c r="B61" s="599"/>
      <c r="C61" s="124" t="s">
        <v>52</v>
      </c>
      <c r="D61" s="70">
        <f>SUM(J61,L61,N61,P61,R61,T61,V61,X61,Z61,AB61,AD61,AF61)</f>
        <v>0</v>
      </c>
      <c r="E61" s="70">
        <f>J61</f>
        <v>0</v>
      </c>
      <c r="F61" s="70">
        <f>G61</f>
        <v>0</v>
      </c>
      <c r="G61" s="70">
        <f>SUM(K61,M61,O61,Q61,S61,U61,W61,Y61,AA61,AC61,AE61,AG61)</f>
        <v>0</v>
      </c>
      <c r="H61" s="70">
        <f t="shared" si="13"/>
        <v>0</v>
      </c>
      <c r="I61" s="70">
        <f t="shared" si="14"/>
        <v>0</v>
      </c>
      <c r="J61" s="70">
        <f t="shared" ref="J61:AG61" si="38">J66+J71</f>
        <v>0</v>
      </c>
      <c r="K61" s="70">
        <f t="shared" si="38"/>
        <v>0</v>
      </c>
      <c r="L61" s="70">
        <f t="shared" si="38"/>
        <v>0</v>
      </c>
      <c r="M61" s="70">
        <f t="shared" si="38"/>
        <v>0</v>
      </c>
      <c r="N61" s="70">
        <f t="shared" si="38"/>
        <v>0</v>
      </c>
      <c r="O61" s="70">
        <f t="shared" si="38"/>
        <v>0</v>
      </c>
      <c r="P61" s="70">
        <f t="shared" si="38"/>
        <v>0</v>
      </c>
      <c r="Q61" s="70">
        <f t="shared" si="38"/>
        <v>0</v>
      </c>
      <c r="R61" s="70">
        <f t="shared" si="38"/>
        <v>0</v>
      </c>
      <c r="S61" s="70">
        <f t="shared" si="38"/>
        <v>0</v>
      </c>
      <c r="T61" s="70">
        <f t="shared" si="38"/>
        <v>0</v>
      </c>
      <c r="U61" s="70">
        <f t="shared" si="38"/>
        <v>0</v>
      </c>
      <c r="V61" s="70">
        <f t="shared" si="38"/>
        <v>0</v>
      </c>
      <c r="W61" s="70">
        <f t="shared" si="38"/>
        <v>0</v>
      </c>
      <c r="X61" s="70">
        <f t="shared" si="38"/>
        <v>0</v>
      </c>
      <c r="Y61" s="70">
        <f t="shared" si="38"/>
        <v>0</v>
      </c>
      <c r="Z61" s="70">
        <f t="shared" si="38"/>
        <v>0</v>
      </c>
      <c r="AA61" s="70">
        <f t="shared" si="38"/>
        <v>0</v>
      </c>
      <c r="AB61" s="70">
        <f t="shared" si="38"/>
        <v>0</v>
      </c>
      <c r="AC61" s="70">
        <f t="shared" si="38"/>
        <v>0</v>
      </c>
      <c r="AD61" s="70">
        <f t="shared" si="38"/>
        <v>0</v>
      </c>
      <c r="AE61" s="70">
        <f t="shared" si="38"/>
        <v>0</v>
      </c>
      <c r="AF61" s="70">
        <f t="shared" si="38"/>
        <v>0</v>
      </c>
      <c r="AG61" s="70">
        <f t="shared" si="38"/>
        <v>0</v>
      </c>
      <c r="AH61" s="60"/>
      <c r="AI61" s="23"/>
    </row>
    <row r="62" spans="1:35" s="21" customFormat="1" ht="34.5" customHeight="1" x14ac:dyDescent="0.25">
      <c r="A62" s="540"/>
      <c r="B62" s="599"/>
      <c r="C62" s="124" t="s">
        <v>22</v>
      </c>
      <c r="D62" s="74">
        <f>SUM(J62,L62,N62,P62,R62,T62,V62,X62,Z62,AB62,AD62,AF62)</f>
        <v>14421.8</v>
      </c>
      <c r="E62" s="74">
        <f>J62</f>
        <v>0</v>
      </c>
      <c r="F62" s="74">
        <f>G62</f>
        <v>9271.2999999999993</v>
      </c>
      <c r="G62" s="74">
        <f>SUM(K62,M62,O62,Q62,S62,U62,W62,Y62,AA62,AC62,AE62,AG62)</f>
        <v>9271.2999999999993</v>
      </c>
      <c r="H62" s="74">
        <f t="shared" si="13"/>
        <v>64.286704849602685</v>
      </c>
      <c r="I62" s="74">
        <f t="shared" si="14"/>
        <v>0</v>
      </c>
      <c r="J62" s="74">
        <f t="shared" ref="J62:AG62" si="39">J67+J72</f>
        <v>0</v>
      </c>
      <c r="K62" s="74">
        <f t="shared" si="39"/>
        <v>0</v>
      </c>
      <c r="L62" s="74">
        <f t="shared" si="39"/>
        <v>3677.26</v>
      </c>
      <c r="M62" s="74">
        <f t="shared" si="39"/>
        <v>3677.26</v>
      </c>
      <c r="N62" s="74">
        <f t="shared" si="39"/>
        <v>0</v>
      </c>
      <c r="O62" s="74">
        <f t="shared" si="39"/>
        <v>0</v>
      </c>
      <c r="P62" s="74">
        <f t="shared" si="39"/>
        <v>4081.4870000000001</v>
      </c>
      <c r="Q62" s="74">
        <f t="shared" si="39"/>
        <v>1197.6600000000001</v>
      </c>
      <c r="R62" s="74">
        <f t="shared" si="39"/>
        <v>3087.0250000000001</v>
      </c>
      <c r="S62" s="74">
        <f t="shared" si="39"/>
        <v>2097.08</v>
      </c>
      <c r="T62" s="74">
        <f t="shared" si="39"/>
        <v>0</v>
      </c>
      <c r="U62" s="74">
        <f t="shared" si="39"/>
        <v>0</v>
      </c>
      <c r="V62" s="74">
        <f t="shared" si="39"/>
        <v>0</v>
      </c>
      <c r="W62" s="74">
        <f t="shared" si="39"/>
        <v>1481.4</v>
      </c>
      <c r="X62" s="74">
        <f t="shared" si="39"/>
        <v>0</v>
      </c>
      <c r="Y62" s="74">
        <f t="shared" si="39"/>
        <v>817.9</v>
      </c>
      <c r="Z62" s="74">
        <f t="shared" si="39"/>
        <v>3050.0129999999999</v>
      </c>
      <c r="AA62" s="74">
        <f t="shared" si="39"/>
        <v>0</v>
      </c>
      <c r="AB62" s="74">
        <f t="shared" si="39"/>
        <v>0</v>
      </c>
      <c r="AC62" s="74">
        <f t="shared" si="39"/>
        <v>0</v>
      </c>
      <c r="AD62" s="74">
        <f t="shared" si="39"/>
        <v>526.01499999999999</v>
      </c>
      <c r="AE62" s="74">
        <f t="shared" si="39"/>
        <v>0</v>
      </c>
      <c r="AF62" s="74">
        <f t="shared" si="39"/>
        <v>0</v>
      </c>
      <c r="AG62" s="74">
        <f t="shared" si="39"/>
        <v>0</v>
      </c>
      <c r="AH62" s="60"/>
      <c r="AI62" s="23"/>
    </row>
    <row r="63" spans="1:35" s="21" customFormat="1" ht="45" customHeight="1" x14ac:dyDescent="0.25">
      <c r="A63" s="540"/>
      <c r="B63" s="599"/>
      <c r="C63" s="124" t="s">
        <v>21</v>
      </c>
      <c r="D63" s="74">
        <f>SUM(J63,L63,N63,P63,R63,T63,V63,X63,Z63,AB63,AD63,AF63)</f>
        <v>22446.622000000003</v>
      </c>
      <c r="E63" s="74">
        <f>J63</f>
        <v>4810.9960000000001</v>
      </c>
      <c r="F63" s="74">
        <f>G63</f>
        <v>15932.130000000001</v>
      </c>
      <c r="G63" s="74">
        <f>SUM(K63,M63,O63,Q63,S63,U63,W63,Y63,AA63,AC63,AE63,AG63)</f>
        <v>15932.130000000001</v>
      </c>
      <c r="H63" s="74">
        <f t="shared" si="13"/>
        <v>70.977851366677797</v>
      </c>
      <c r="I63" s="74">
        <f t="shared" si="14"/>
        <v>331.16074093597251</v>
      </c>
      <c r="J63" s="67">
        <f t="shared" ref="J63:AG63" si="40">J68+J73</f>
        <v>4810.9960000000001</v>
      </c>
      <c r="K63" s="67">
        <f t="shared" si="40"/>
        <v>2573.06</v>
      </c>
      <c r="L63" s="67">
        <f t="shared" si="40"/>
        <v>3984.5720000000001</v>
      </c>
      <c r="M63" s="67">
        <f t="shared" si="40"/>
        <v>2752.85</v>
      </c>
      <c r="N63" s="67">
        <f t="shared" si="40"/>
        <v>3098.8850000000002</v>
      </c>
      <c r="O63" s="67">
        <f t="shared" si="40"/>
        <v>3438.25</v>
      </c>
      <c r="P63" s="67">
        <f t="shared" si="40"/>
        <v>1720.924</v>
      </c>
      <c r="Q63" s="67">
        <f t="shared" si="40"/>
        <v>2214.8799999999997</v>
      </c>
      <c r="R63" s="67">
        <f t="shared" si="40"/>
        <v>2207.6289999999999</v>
      </c>
      <c r="S63" s="67">
        <f t="shared" si="40"/>
        <v>1865.1799999999998</v>
      </c>
      <c r="T63" s="67">
        <f t="shared" si="40"/>
        <v>1496.7940000000001</v>
      </c>
      <c r="U63" s="67">
        <f t="shared" si="40"/>
        <v>1374.12</v>
      </c>
      <c r="V63" s="67">
        <f t="shared" si="40"/>
        <v>2626.395</v>
      </c>
      <c r="W63" s="67">
        <f t="shared" si="40"/>
        <v>956.85</v>
      </c>
      <c r="X63" s="67">
        <f t="shared" si="40"/>
        <v>79.667000000000002</v>
      </c>
      <c r="Y63" s="67">
        <f t="shared" si="40"/>
        <v>756.94</v>
      </c>
      <c r="Z63" s="67">
        <f t="shared" si="40"/>
        <v>1749.6740000000002</v>
      </c>
      <c r="AA63" s="67">
        <f t="shared" si="40"/>
        <v>0</v>
      </c>
      <c r="AB63" s="67">
        <f t="shared" si="40"/>
        <v>500.267</v>
      </c>
      <c r="AC63" s="67">
        <f t="shared" si="40"/>
        <v>0</v>
      </c>
      <c r="AD63" s="67">
        <f t="shared" si="40"/>
        <v>156.55199999999999</v>
      </c>
      <c r="AE63" s="67">
        <f t="shared" si="40"/>
        <v>0</v>
      </c>
      <c r="AF63" s="67">
        <f t="shared" si="40"/>
        <v>14.266999999999999</v>
      </c>
      <c r="AG63" s="67">
        <f t="shared" si="40"/>
        <v>0</v>
      </c>
      <c r="AH63" s="60"/>
      <c r="AI63" s="23"/>
    </row>
    <row r="64" spans="1:35" s="26" customFormat="1" ht="43.5" hidden="1" customHeight="1" x14ac:dyDescent="0.25">
      <c r="A64" s="541"/>
      <c r="B64" s="579"/>
      <c r="C64" s="124" t="s">
        <v>276</v>
      </c>
      <c r="D64" s="74">
        <f>SUM(J64,L64,N64,P64,R64,T64,V64,X64,Z64,AB64,AD64,AF64)</f>
        <v>0</v>
      </c>
      <c r="E64" s="74">
        <f>J64</f>
        <v>0</v>
      </c>
      <c r="F64" s="74">
        <f>G64</f>
        <v>0</v>
      </c>
      <c r="G64" s="74">
        <f>SUM(K64,M64,O64,Q64,S64,U64,W64,Y64,AA64,AC64,AE64,AG64)</f>
        <v>0</v>
      </c>
      <c r="H64" s="74">
        <f t="shared" si="13"/>
        <v>0</v>
      </c>
      <c r="I64" s="74">
        <f t="shared" si="14"/>
        <v>0</v>
      </c>
      <c r="J64" s="67">
        <v>0</v>
      </c>
      <c r="K64" s="67">
        <v>0</v>
      </c>
      <c r="L64" s="67">
        <v>0</v>
      </c>
      <c r="M64" s="67">
        <v>0</v>
      </c>
      <c r="N64" s="67">
        <v>0</v>
      </c>
      <c r="O64" s="67">
        <v>0</v>
      </c>
      <c r="P64" s="67">
        <v>0</v>
      </c>
      <c r="Q64" s="67">
        <v>0</v>
      </c>
      <c r="R64" s="67">
        <v>0</v>
      </c>
      <c r="S64" s="67">
        <v>0</v>
      </c>
      <c r="T64" s="67">
        <v>0</v>
      </c>
      <c r="U64" s="67">
        <v>0</v>
      </c>
      <c r="V64" s="67">
        <v>0</v>
      </c>
      <c r="W64" s="67">
        <v>0</v>
      </c>
      <c r="X64" s="67">
        <v>0</v>
      </c>
      <c r="Y64" s="67">
        <v>0</v>
      </c>
      <c r="Z64" s="67">
        <v>0</v>
      </c>
      <c r="AA64" s="67">
        <v>0</v>
      </c>
      <c r="AB64" s="67">
        <v>0</v>
      </c>
      <c r="AC64" s="67">
        <v>0</v>
      </c>
      <c r="AD64" s="67">
        <v>0</v>
      </c>
      <c r="AE64" s="67">
        <v>0</v>
      </c>
      <c r="AF64" s="67">
        <v>0</v>
      </c>
      <c r="AG64" s="67">
        <v>0</v>
      </c>
      <c r="AH64" s="75"/>
      <c r="AI64" s="24"/>
    </row>
    <row r="65" spans="1:35" s="22" customFormat="1" ht="30.75" customHeight="1" x14ac:dyDescent="0.25">
      <c r="A65" s="545" t="s">
        <v>283</v>
      </c>
      <c r="B65" s="575" t="s">
        <v>292</v>
      </c>
      <c r="C65" s="123" t="s">
        <v>20</v>
      </c>
      <c r="D65" s="70">
        <f>D66+D67+D68+D69</f>
        <v>6820.8</v>
      </c>
      <c r="E65" s="70">
        <f t="shared" ref="E65:G65" si="41">E66+E67+E68+E69</f>
        <v>2179.75</v>
      </c>
      <c r="F65" s="70">
        <f t="shared" si="41"/>
        <v>3594.38</v>
      </c>
      <c r="G65" s="70">
        <f t="shared" si="41"/>
        <v>3594.38</v>
      </c>
      <c r="H65" s="70">
        <f t="shared" si="13"/>
        <v>52.69733755571194</v>
      </c>
      <c r="I65" s="70">
        <f t="shared" si="14"/>
        <v>164.89872691822458</v>
      </c>
      <c r="J65" s="71">
        <f t="shared" ref="J65:AF65" si="42">J66+J67+J68+J69</f>
        <v>2179.75</v>
      </c>
      <c r="K65" s="71">
        <f t="shared" si="42"/>
        <v>932.76</v>
      </c>
      <c r="L65" s="71">
        <f t="shared" si="42"/>
        <v>2598.33</v>
      </c>
      <c r="M65" s="71">
        <f t="shared" si="42"/>
        <v>980.85</v>
      </c>
      <c r="N65" s="71">
        <f t="shared" si="42"/>
        <v>0</v>
      </c>
      <c r="O65" s="71">
        <f t="shared" si="42"/>
        <v>788.69</v>
      </c>
      <c r="P65" s="71">
        <f t="shared" si="42"/>
        <v>0</v>
      </c>
      <c r="Q65" s="71">
        <f t="shared" si="42"/>
        <v>153.6</v>
      </c>
      <c r="R65" s="71">
        <f t="shared" si="42"/>
        <v>467.84</v>
      </c>
      <c r="S65" s="71">
        <f t="shared" si="42"/>
        <v>558.9</v>
      </c>
      <c r="T65" s="71">
        <f t="shared" si="42"/>
        <v>0</v>
      </c>
      <c r="U65" s="71">
        <f t="shared" si="42"/>
        <v>179.58</v>
      </c>
      <c r="V65" s="71">
        <f t="shared" si="42"/>
        <v>0</v>
      </c>
      <c r="W65" s="71">
        <f t="shared" si="42"/>
        <v>0</v>
      </c>
      <c r="X65" s="71">
        <f t="shared" si="42"/>
        <v>0</v>
      </c>
      <c r="Y65" s="71">
        <f t="shared" si="42"/>
        <v>0</v>
      </c>
      <c r="Z65" s="71">
        <f t="shared" si="42"/>
        <v>1574.88</v>
      </c>
      <c r="AA65" s="71">
        <f t="shared" si="42"/>
        <v>0</v>
      </c>
      <c r="AB65" s="71">
        <f t="shared" si="42"/>
        <v>0</v>
      </c>
      <c r="AC65" s="71">
        <f t="shared" si="42"/>
        <v>0</v>
      </c>
      <c r="AD65" s="71">
        <f t="shared" si="42"/>
        <v>0</v>
      </c>
      <c r="AE65" s="71">
        <f t="shared" si="42"/>
        <v>0</v>
      </c>
      <c r="AF65" s="71">
        <f t="shared" si="42"/>
        <v>0</v>
      </c>
      <c r="AG65" s="71">
        <f>AG66+AG67+AG68+AG69</f>
        <v>0</v>
      </c>
      <c r="AH65" s="60"/>
      <c r="AI65" s="20"/>
    </row>
    <row r="66" spans="1:35" s="22" customFormat="1" ht="30.75" hidden="1" customHeight="1" x14ac:dyDescent="0.25">
      <c r="A66" s="546"/>
      <c r="B66" s="576"/>
      <c r="C66" s="124" t="s">
        <v>52</v>
      </c>
      <c r="D66" s="74">
        <f>SUM(J66,L66,N66,P66,R66,T66,V66,X66,Z66,AB66,AD66,AF66)</f>
        <v>0</v>
      </c>
      <c r="E66" s="74">
        <f>J66</f>
        <v>0</v>
      </c>
      <c r="F66" s="74">
        <f>G66</f>
        <v>0</v>
      </c>
      <c r="G66" s="74">
        <f>SUM(K66,M66,O66,Q66,S66,U66,W66,Y66,AA66,AC66,AE66,AG66)</f>
        <v>0</v>
      </c>
      <c r="H66" s="74">
        <f>IFERROR(G66/D66*100,0)</f>
        <v>0</v>
      </c>
      <c r="I66" s="74">
        <f>IFERROR(G66/E66*100,0)</f>
        <v>0</v>
      </c>
      <c r="J66" s="67">
        <v>0</v>
      </c>
      <c r="K66" s="67">
        <v>0</v>
      </c>
      <c r="L66" s="67">
        <v>0</v>
      </c>
      <c r="M66" s="67">
        <v>0</v>
      </c>
      <c r="N66" s="67">
        <v>0</v>
      </c>
      <c r="O66" s="67">
        <v>0</v>
      </c>
      <c r="P66" s="67">
        <v>0</v>
      </c>
      <c r="Q66" s="67">
        <v>0</v>
      </c>
      <c r="R66" s="67">
        <v>0</v>
      </c>
      <c r="S66" s="67">
        <v>0</v>
      </c>
      <c r="T66" s="67">
        <v>0</v>
      </c>
      <c r="U66" s="67">
        <v>0</v>
      </c>
      <c r="V66" s="67">
        <v>0</v>
      </c>
      <c r="W66" s="67">
        <v>0</v>
      </c>
      <c r="X66" s="67">
        <v>0</v>
      </c>
      <c r="Y66" s="67">
        <v>0</v>
      </c>
      <c r="Z66" s="67">
        <v>0</v>
      </c>
      <c r="AA66" s="67">
        <v>0</v>
      </c>
      <c r="AB66" s="67">
        <v>0</v>
      </c>
      <c r="AC66" s="67">
        <v>0</v>
      </c>
      <c r="AD66" s="67">
        <v>0</v>
      </c>
      <c r="AE66" s="67">
        <v>0</v>
      </c>
      <c r="AF66" s="67">
        <v>0</v>
      </c>
      <c r="AG66" s="67">
        <v>0</v>
      </c>
      <c r="AH66" s="60"/>
      <c r="AI66" s="20"/>
    </row>
    <row r="67" spans="1:35" s="22" customFormat="1" ht="30.75" customHeight="1" x14ac:dyDescent="0.25">
      <c r="A67" s="546"/>
      <c r="B67" s="576"/>
      <c r="C67" s="124" t="s">
        <v>22</v>
      </c>
      <c r="D67" s="74">
        <f>SUM(J67,L67,N67,P67,R67,T67,V67,X67,Z67,AB67,AD67,AF67)</f>
        <v>0</v>
      </c>
      <c r="E67" s="74">
        <f>J67</f>
        <v>0</v>
      </c>
      <c r="F67" s="74">
        <f>G67</f>
        <v>0</v>
      </c>
      <c r="G67" s="74">
        <f>SUM(K67,M67,O67,Q67,S67,U67,W67,Y67,AA67,AC67,AE67,AG67)</f>
        <v>0</v>
      </c>
      <c r="H67" s="74">
        <f>IFERROR(G67/D67*100,0)</f>
        <v>0</v>
      </c>
      <c r="I67" s="74">
        <f>IFERROR(G67/E67*100,0)</f>
        <v>0</v>
      </c>
      <c r="J67" s="67">
        <v>0</v>
      </c>
      <c r="K67" s="67">
        <v>0</v>
      </c>
      <c r="L67" s="67">
        <v>0</v>
      </c>
      <c r="M67" s="67">
        <v>0</v>
      </c>
      <c r="N67" s="67">
        <v>0</v>
      </c>
      <c r="O67" s="67">
        <v>0</v>
      </c>
      <c r="P67" s="67">
        <v>0</v>
      </c>
      <c r="Q67" s="67">
        <v>0</v>
      </c>
      <c r="R67" s="67">
        <v>0</v>
      </c>
      <c r="S67" s="67">
        <v>0</v>
      </c>
      <c r="T67" s="67">
        <v>0</v>
      </c>
      <c r="U67" s="67">
        <v>0</v>
      </c>
      <c r="V67" s="67">
        <v>0</v>
      </c>
      <c r="W67" s="67">
        <v>0</v>
      </c>
      <c r="X67" s="67">
        <v>0</v>
      </c>
      <c r="Y67" s="67">
        <v>0</v>
      </c>
      <c r="Z67" s="67">
        <v>0</v>
      </c>
      <c r="AA67" s="67">
        <v>0</v>
      </c>
      <c r="AB67" s="67">
        <v>0</v>
      </c>
      <c r="AC67" s="67">
        <v>0</v>
      </c>
      <c r="AD67" s="67">
        <v>0</v>
      </c>
      <c r="AE67" s="67">
        <v>0</v>
      </c>
      <c r="AF67" s="67">
        <v>0</v>
      </c>
      <c r="AG67" s="67">
        <v>0</v>
      </c>
      <c r="AH67" s="60"/>
      <c r="AI67" s="20"/>
    </row>
    <row r="68" spans="1:35" s="22" customFormat="1" ht="54" customHeight="1" x14ac:dyDescent="0.25">
      <c r="A68" s="546"/>
      <c r="B68" s="576"/>
      <c r="C68" s="124" t="s">
        <v>21</v>
      </c>
      <c r="D68" s="74">
        <f>SUM(J68,L68,N68,P68,R68,T68,V68,X68,Z68,AB68,AD68,AF68)</f>
        <v>6820.8</v>
      </c>
      <c r="E68" s="74">
        <f>J68</f>
        <v>2179.75</v>
      </c>
      <c r="F68" s="74">
        <f>G68</f>
        <v>3594.38</v>
      </c>
      <c r="G68" s="74">
        <f>SUM(K68,M68,O68,Q68,S68,U68,W68,Y68,AA68,AC68,AE68,AG68)</f>
        <v>3594.38</v>
      </c>
      <c r="H68" s="74">
        <f>IFERROR(G68/D68*100,0)</f>
        <v>52.69733755571194</v>
      </c>
      <c r="I68" s="74">
        <f>IFERROR(G68/E68*100,0)</f>
        <v>164.89872691822458</v>
      </c>
      <c r="J68" s="67">
        <v>2179.75</v>
      </c>
      <c r="K68" s="67">
        <v>932.76</v>
      </c>
      <c r="L68" s="67">
        <v>2598.33</v>
      </c>
      <c r="M68" s="263">
        <v>980.85</v>
      </c>
      <c r="N68" s="67">
        <v>0</v>
      </c>
      <c r="O68" s="67">
        <v>788.69</v>
      </c>
      <c r="P68" s="67">
        <v>0</v>
      </c>
      <c r="Q68" s="67">
        <v>153.6</v>
      </c>
      <c r="R68" s="67">
        <v>467.84</v>
      </c>
      <c r="S68" s="67">
        <v>558.9</v>
      </c>
      <c r="T68" s="67">
        <v>0</v>
      </c>
      <c r="U68" s="67">
        <v>179.58</v>
      </c>
      <c r="V68" s="67">
        <v>0</v>
      </c>
      <c r="W68" s="67">
        <v>0</v>
      </c>
      <c r="X68" s="67">
        <v>0</v>
      </c>
      <c r="Y68" s="67">
        <v>0</v>
      </c>
      <c r="Z68" s="67">
        <v>1574.88</v>
      </c>
      <c r="AA68" s="67">
        <v>0</v>
      </c>
      <c r="AB68" s="67">
        <v>0</v>
      </c>
      <c r="AC68" s="67">
        <v>0</v>
      </c>
      <c r="AD68" s="67">
        <v>0</v>
      </c>
      <c r="AE68" s="67">
        <v>0</v>
      </c>
      <c r="AF68" s="67">
        <v>0</v>
      </c>
      <c r="AG68" s="67">
        <v>0</v>
      </c>
      <c r="AH68" s="60"/>
      <c r="AI68" s="20"/>
    </row>
    <row r="69" spans="1:35" s="22" customFormat="1" ht="46.5" hidden="1" customHeight="1" x14ac:dyDescent="0.25">
      <c r="A69" s="540"/>
      <c r="B69" s="576"/>
      <c r="C69" s="124" t="s">
        <v>113</v>
      </c>
      <c r="D69" s="74">
        <f>SUM(J69,L69,N69,P69,R69,T69,V69,X69,Z69,AB69,AD69,AF69)</f>
        <v>0</v>
      </c>
      <c r="E69" s="74">
        <f>J69</f>
        <v>0</v>
      </c>
      <c r="F69" s="74">
        <f>G69</f>
        <v>0</v>
      </c>
      <c r="G69" s="74">
        <f>SUM(K69,M69,O69,Q69,S69,U69,W69,Y69,AA69,AC69,AE69,AG69)</f>
        <v>0</v>
      </c>
      <c r="H69" s="74">
        <f>IFERROR(G69/D69*100,0)</f>
        <v>0</v>
      </c>
      <c r="I69" s="74">
        <f>IFERROR(G69/E69*100,0)</f>
        <v>0</v>
      </c>
      <c r="J69" s="67">
        <v>0</v>
      </c>
      <c r="K69" s="67">
        <v>0</v>
      </c>
      <c r="L69" s="67">
        <v>0</v>
      </c>
      <c r="M69" s="67">
        <v>0</v>
      </c>
      <c r="N69" s="67">
        <v>0</v>
      </c>
      <c r="O69" s="67">
        <v>0</v>
      </c>
      <c r="P69" s="67">
        <v>0</v>
      </c>
      <c r="Q69" s="67">
        <v>0</v>
      </c>
      <c r="R69" s="67">
        <v>0</v>
      </c>
      <c r="S69" s="67">
        <v>0</v>
      </c>
      <c r="T69" s="67">
        <v>0</v>
      </c>
      <c r="U69" s="67">
        <v>0</v>
      </c>
      <c r="V69" s="67">
        <v>0</v>
      </c>
      <c r="W69" s="67">
        <v>0</v>
      </c>
      <c r="X69" s="67">
        <v>0</v>
      </c>
      <c r="Y69" s="67">
        <v>0</v>
      </c>
      <c r="Z69" s="67">
        <v>0</v>
      </c>
      <c r="AA69" s="67">
        <v>0</v>
      </c>
      <c r="AB69" s="67">
        <v>0</v>
      </c>
      <c r="AC69" s="67">
        <v>0</v>
      </c>
      <c r="AD69" s="67">
        <v>0</v>
      </c>
      <c r="AE69" s="67">
        <v>0</v>
      </c>
      <c r="AF69" s="67">
        <v>0</v>
      </c>
      <c r="AG69" s="67">
        <v>0</v>
      </c>
      <c r="AH69" s="60"/>
      <c r="AI69" s="20"/>
    </row>
    <row r="70" spans="1:35" s="21" customFormat="1" ht="33.75" customHeight="1" x14ac:dyDescent="0.25">
      <c r="A70" s="539" t="s">
        <v>284</v>
      </c>
      <c r="B70" s="575" t="s">
        <v>285</v>
      </c>
      <c r="C70" s="123" t="s">
        <v>20</v>
      </c>
      <c r="D70" s="70">
        <f>D71+D72+D73+D74</f>
        <v>30924.621999999999</v>
      </c>
      <c r="E70" s="70">
        <f>E71+E72+E73+E74</f>
        <v>2631.2460000000001</v>
      </c>
      <c r="F70" s="70">
        <f>F71+F72+F73+F74</f>
        <v>22486.05</v>
      </c>
      <c r="G70" s="70">
        <f>G71+G72+G73+G74</f>
        <v>22486.05</v>
      </c>
      <c r="H70" s="70">
        <f t="shared" ref="H70:H74" si="43">IFERROR(G70/D70*100,0)</f>
        <v>72.712448999376605</v>
      </c>
      <c r="I70" s="70">
        <f t="shared" ref="I70:I74" si="44">IFERROR(G70/E70*100,0)</f>
        <v>854.57802121124371</v>
      </c>
      <c r="J70" s="70">
        <f t="shared" ref="J70:AG70" si="45">J71+J72+J73+J74</f>
        <v>2631.2460000000001</v>
      </c>
      <c r="K70" s="70">
        <f t="shared" si="45"/>
        <v>1640.3</v>
      </c>
      <c r="L70" s="70">
        <f t="shared" si="45"/>
        <v>5063.5020000000004</v>
      </c>
      <c r="M70" s="70">
        <f t="shared" si="45"/>
        <v>5449.26</v>
      </c>
      <c r="N70" s="70">
        <f t="shared" si="45"/>
        <v>3098.8850000000002</v>
      </c>
      <c r="O70" s="70">
        <f t="shared" si="45"/>
        <v>2649.56</v>
      </c>
      <c r="P70" s="70">
        <f t="shared" si="45"/>
        <v>6679.4110000000001</v>
      </c>
      <c r="Q70" s="70">
        <f t="shared" si="45"/>
        <v>3949.6399999999994</v>
      </c>
      <c r="R70" s="70">
        <f t="shared" si="45"/>
        <v>4826.8140000000003</v>
      </c>
      <c r="S70" s="70">
        <f t="shared" si="45"/>
        <v>3589.66</v>
      </c>
      <c r="T70" s="70">
        <f t="shared" si="45"/>
        <v>1496.7940000000001</v>
      </c>
      <c r="U70" s="70">
        <f t="shared" si="45"/>
        <v>1194.54</v>
      </c>
      <c r="V70" s="70">
        <f t="shared" si="45"/>
        <v>2626.395</v>
      </c>
      <c r="W70" s="70">
        <f t="shared" si="45"/>
        <v>2438.25</v>
      </c>
      <c r="X70" s="70">
        <f t="shared" si="45"/>
        <v>79.667000000000002</v>
      </c>
      <c r="Y70" s="70">
        <f t="shared" si="45"/>
        <v>1574.8400000000001</v>
      </c>
      <c r="Z70" s="70">
        <f t="shared" si="45"/>
        <v>3224.8069999999998</v>
      </c>
      <c r="AA70" s="70">
        <f t="shared" si="45"/>
        <v>0</v>
      </c>
      <c r="AB70" s="70">
        <f t="shared" si="45"/>
        <v>500.267</v>
      </c>
      <c r="AC70" s="70" t="e">
        <f t="shared" si="45"/>
        <v>#VALUE!</v>
      </c>
      <c r="AD70" s="70">
        <f t="shared" si="45"/>
        <v>682.56700000000001</v>
      </c>
      <c r="AE70" s="70">
        <f t="shared" si="45"/>
        <v>0</v>
      </c>
      <c r="AF70" s="70">
        <f t="shared" si="45"/>
        <v>14.266999999999999</v>
      </c>
      <c r="AG70" s="70">
        <f t="shared" si="45"/>
        <v>0</v>
      </c>
      <c r="AH70" s="60"/>
      <c r="AI70" s="23"/>
    </row>
    <row r="71" spans="1:35" s="21" customFormat="1" ht="36" hidden="1" customHeight="1" x14ac:dyDescent="0.25">
      <c r="A71" s="540"/>
      <c r="B71" s="576"/>
      <c r="C71" s="124" t="s">
        <v>52</v>
      </c>
      <c r="D71" s="74">
        <f>SUM(J71,L71,N71,P71,R71,T71,V71,X71,Z71,AB71,AD71,AF71)</f>
        <v>0</v>
      </c>
      <c r="E71" s="74">
        <f>J71</f>
        <v>0</v>
      </c>
      <c r="F71" s="74">
        <f>G71</f>
        <v>0</v>
      </c>
      <c r="G71" s="74">
        <f>SUM(K71,M71,O71,Q71,S71,U71,W71,Y71,AA71,AC71,AE71,AG71)</f>
        <v>0</v>
      </c>
      <c r="H71" s="74">
        <f t="shared" si="43"/>
        <v>0</v>
      </c>
      <c r="I71" s="74">
        <f t="shared" si="44"/>
        <v>0</v>
      </c>
      <c r="J71" s="74">
        <v>0</v>
      </c>
      <c r="K71" s="74">
        <v>0</v>
      </c>
      <c r="L71" s="74">
        <v>0</v>
      </c>
      <c r="M71" s="74">
        <v>0</v>
      </c>
      <c r="N71" s="74">
        <v>0</v>
      </c>
      <c r="O71" s="74">
        <v>0</v>
      </c>
      <c r="P71" s="74">
        <v>0</v>
      </c>
      <c r="Q71" s="74">
        <v>0</v>
      </c>
      <c r="R71" s="74">
        <v>0</v>
      </c>
      <c r="S71" s="74">
        <v>0</v>
      </c>
      <c r="T71" s="74">
        <v>0</v>
      </c>
      <c r="U71" s="74">
        <v>0</v>
      </c>
      <c r="V71" s="74">
        <v>0</v>
      </c>
      <c r="W71" s="74">
        <v>0</v>
      </c>
      <c r="X71" s="74">
        <v>0</v>
      </c>
      <c r="Y71" s="74">
        <v>0</v>
      </c>
      <c r="Z71" s="74">
        <v>0</v>
      </c>
      <c r="AA71" s="74">
        <v>0</v>
      </c>
      <c r="AB71" s="74">
        <v>0</v>
      </c>
      <c r="AC71" s="74">
        <v>0</v>
      </c>
      <c r="AD71" s="74">
        <v>0</v>
      </c>
      <c r="AE71" s="74">
        <v>0</v>
      </c>
      <c r="AF71" s="74">
        <v>0</v>
      </c>
      <c r="AG71" s="74">
        <v>0</v>
      </c>
      <c r="AH71" s="60"/>
      <c r="AI71" s="23"/>
    </row>
    <row r="72" spans="1:35" s="21" customFormat="1" ht="37.5" customHeight="1" x14ac:dyDescent="0.25">
      <c r="A72" s="540"/>
      <c r="B72" s="576"/>
      <c r="C72" s="124" t="s">
        <v>22</v>
      </c>
      <c r="D72" s="74">
        <f>SUM(J72,L72,N72,P72,R72,T72,V72,X72,Z72,AB72,AD72,AF72)</f>
        <v>14421.8</v>
      </c>
      <c r="E72" s="74">
        <f>J72</f>
        <v>0</v>
      </c>
      <c r="F72" s="74">
        <f>G72</f>
        <v>9271.2999999999993</v>
      </c>
      <c r="G72" s="74">
        <f>SUM(K72,M72,O72,Q72,S72,U72,W72,Y72,AA72,AC72,AE72,AG72)</f>
        <v>9271.2999999999993</v>
      </c>
      <c r="H72" s="74">
        <f t="shared" si="43"/>
        <v>64.286704849602685</v>
      </c>
      <c r="I72" s="74">
        <f t="shared" si="44"/>
        <v>0</v>
      </c>
      <c r="J72" s="67">
        <v>0</v>
      </c>
      <c r="K72" s="67">
        <v>0</v>
      </c>
      <c r="L72" s="67">
        <v>3677.26</v>
      </c>
      <c r="M72" s="263">
        <v>3677.26</v>
      </c>
      <c r="N72" s="67">
        <v>0</v>
      </c>
      <c r="O72" s="67">
        <v>0</v>
      </c>
      <c r="P72" s="67">
        <f>3204.487+877</f>
        <v>4081.4870000000001</v>
      </c>
      <c r="Q72" s="67">
        <v>1197.6600000000001</v>
      </c>
      <c r="R72" s="67">
        <v>3087.0250000000001</v>
      </c>
      <c r="S72" s="67">
        <v>2097.08</v>
      </c>
      <c r="T72" s="67">
        <v>0</v>
      </c>
      <c r="U72" s="67">
        <v>0</v>
      </c>
      <c r="V72" s="67">
        <v>0</v>
      </c>
      <c r="W72" s="67">
        <v>1481.4</v>
      </c>
      <c r="X72" s="67">
        <v>0</v>
      </c>
      <c r="Y72" s="67">
        <v>817.9</v>
      </c>
      <c r="Z72" s="67">
        <v>3050.0129999999999</v>
      </c>
      <c r="AA72" s="67">
        <v>0</v>
      </c>
      <c r="AB72" s="67">
        <v>0</v>
      </c>
      <c r="AC72" s="67">
        <v>0</v>
      </c>
      <c r="AD72" s="67">
        <v>526.01499999999999</v>
      </c>
      <c r="AE72" s="67">
        <v>0</v>
      </c>
      <c r="AF72" s="67">
        <v>0</v>
      </c>
      <c r="AG72" s="67">
        <v>0</v>
      </c>
      <c r="AH72" s="60"/>
      <c r="AI72" s="23"/>
    </row>
    <row r="73" spans="1:35" s="21" customFormat="1" ht="37.5" customHeight="1" x14ac:dyDescent="0.25">
      <c r="A73" s="540"/>
      <c r="B73" s="576"/>
      <c r="C73" s="124" t="s">
        <v>21</v>
      </c>
      <c r="D73" s="74">
        <f>SUM(J73,L73,N73,P73,R73,T73,V73,X73,Z73,AB73,AD73,AF73)</f>
        <v>15625.822</v>
      </c>
      <c r="E73" s="74">
        <f>J73</f>
        <v>2631.2460000000001</v>
      </c>
      <c r="F73" s="74">
        <f>G73</f>
        <v>12337.75</v>
      </c>
      <c r="G73" s="74">
        <f>SUM(K73,M73,O73,Q73,S73,U73,W73,Y73,AA73,AC73,AE73,AG73)</f>
        <v>12337.75</v>
      </c>
      <c r="H73" s="74">
        <f>IFERROR(G73/D73*100,0)</f>
        <v>78.957446206669957</v>
      </c>
      <c r="I73" s="74">
        <f>IFERROR(G73/E73*100,0)</f>
        <v>468.89382444666899</v>
      </c>
      <c r="J73" s="67">
        <v>2631.2460000000001</v>
      </c>
      <c r="K73" s="67">
        <v>1640.3</v>
      </c>
      <c r="L73" s="67">
        <v>1386.242</v>
      </c>
      <c r="M73" s="263">
        <f>1394.06+377.94</f>
        <v>1772</v>
      </c>
      <c r="N73" s="67">
        <v>3098.8850000000002</v>
      </c>
      <c r="O73" s="67">
        <v>2649.56</v>
      </c>
      <c r="P73" s="67">
        <v>1720.924</v>
      </c>
      <c r="Q73" s="67">
        <f>1370.58+690.7</f>
        <v>2061.2799999999997</v>
      </c>
      <c r="R73" s="67">
        <v>1739.789</v>
      </c>
      <c r="S73" s="67">
        <v>1306.28</v>
      </c>
      <c r="T73" s="67">
        <v>1496.7940000000001</v>
      </c>
      <c r="U73" s="67">
        <v>1194.54</v>
      </c>
      <c r="V73" s="67">
        <v>2626.395</v>
      </c>
      <c r="W73" s="67">
        <v>956.85</v>
      </c>
      <c r="X73" s="67">
        <v>79.667000000000002</v>
      </c>
      <c r="Y73" s="67">
        <v>756.94</v>
      </c>
      <c r="Z73" s="67">
        <v>174.79400000000001</v>
      </c>
      <c r="AA73" s="67">
        <v>0</v>
      </c>
      <c r="AB73" s="67">
        <v>500.267</v>
      </c>
      <c r="AC73" s="67">
        <v>0</v>
      </c>
      <c r="AD73" s="67">
        <v>156.55199999999999</v>
      </c>
      <c r="AE73" s="67">
        <v>0</v>
      </c>
      <c r="AF73" s="67">
        <v>14.266999999999999</v>
      </c>
      <c r="AG73" s="67">
        <v>0</v>
      </c>
      <c r="AH73" s="60"/>
      <c r="AI73" s="23"/>
    </row>
    <row r="74" spans="1:35" s="22" customFormat="1" ht="36.75" hidden="1" customHeight="1" x14ac:dyDescent="0.25">
      <c r="A74" s="541"/>
      <c r="B74" s="577"/>
      <c r="C74" s="124" t="s">
        <v>113</v>
      </c>
      <c r="D74" s="74">
        <f>SUM(J74,L74,N74,P74,R74,T74,V74,X74,Z74,AB74,AD74,AF74)</f>
        <v>877</v>
      </c>
      <c r="E74" s="74">
        <f>J74</f>
        <v>0</v>
      </c>
      <c r="F74" s="74">
        <f>G74</f>
        <v>877</v>
      </c>
      <c r="G74" s="74">
        <f>SUM(K74,M74,O74,Q74,S74,U74,W74,Y74,AA74,AC74,AE74,AG74)</f>
        <v>877</v>
      </c>
      <c r="H74" s="74">
        <f t="shared" si="43"/>
        <v>100</v>
      </c>
      <c r="I74" s="74">
        <f t="shared" si="44"/>
        <v>0</v>
      </c>
      <c r="J74" s="67">
        <v>0</v>
      </c>
      <c r="K74" s="67">
        <v>0</v>
      </c>
      <c r="L74" s="67">
        <v>0</v>
      </c>
      <c r="M74" s="67">
        <v>0</v>
      </c>
      <c r="N74" s="67">
        <v>0</v>
      </c>
      <c r="O74" s="67">
        <v>0</v>
      </c>
      <c r="P74" s="67">
        <v>877</v>
      </c>
      <c r="Q74" s="67">
        <v>690.7</v>
      </c>
      <c r="R74" s="67">
        <v>0</v>
      </c>
      <c r="S74" s="67">
        <v>186.3</v>
      </c>
      <c r="T74" s="67">
        <v>0</v>
      </c>
      <c r="U74" s="67">
        <v>0</v>
      </c>
      <c r="V74" s="67">
        <v>0</v>
      </c>
      <c r="W74" s="67">
        <v>0</v>
      </c>
      <c r="X74" s="67">
        <v>0</v>
      </c>
      <c r="Y74" s="67">
        <v>0</v>
      </c>
      <c r="Z74" s="67">
        <v>0</v>
      </c>
      <c r="AA74" s="67">
        <v>0</v>
      </c>
      <c r="AB74" s="67">
        <v>0</v>
      </c>
      <c r="AC74" s="67" t="s">
        <v>358</v>
      </c>
      <c r="AD74" s="67">
        <v>0</v>
      </c>
      <c r="AE74" s="67">
        <v>0</v>
      </c>
      <c r="AF74" s="67">
        <v>0</v>
      </c>
      <c r="AG74" s="67">
        <v>0</v>
      </c>
      <c r="AH74" s="64"/>
      <c r="AI74" s="20"/>
    </row>
    <row r="75" spans="1:35" s="18" customFormat="1" ht="18.75" customHeight="1" x14ac:dyDescent="0.25">
      <c r="A75" s="156" t="s">
        <v>156</v>
      </c>
      <c r="B75" s="596" t="s">
        <v>286</v>
      </c>
      <c r="C75" s="597"/>
      <c r="D75" s="597"/>
      <c r="E75" s="597"/>
      <c r="F75" s="597"/>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8"/>
      <c r="AH75" s="46"/>
    </row>
    <row r="76" spans="1:35" s="22" customFormat="1" ht="63" customHeight="1" x14ac:dyDescent="0.25">
      <c r="A76" s="545" t="s">
        <v>157</v>
      </c>
      <c r="B76" s="533" t="s">
        <v>287</v>
      </c>
      <c r="C76" s="123" t="s">
        <v>20</v>
      </c>
      <c r="D76" s="70">
        <f>D77+D78+D79+D80</f>
        <v>6262.3010000000004</v>
      </c>
      <c r="E76" s="70">
        <f t="shared" ref="E76:G76" si="46">E80+E79</f>
        <v>76.144000000000005</v>
      </c>
      <c r="F76" s="70">
        <f t="shared" si="46"/>
        <v>6109.25</v>
      </c>
      <c r="G76" s="70">
        <f t="shared" si="46"/>
        <v>6109.25</v>
      </c>
      <c r="H76" s="70">
        <f t="shared" si="13"/>
        <v>97.555994194466209</v>
      </c>
      <c r="I76" s="70">
        <f t="shared" si="14"/>
        <v>8023.2848287455345</v>
      </c>
      <c r="J76" s="71">
        <f t="shared" ref="J76:AF76" si="47">J77+J78+J79+J80</f>
        <v>76.144000000000005</v>
      </c>
      <c r="K76" s="71">
        <f t="shared" si="47"/>
        <v>0</v>
      </c>
      <c r="L76" s="71">
        <f t="shared" si="47"/>
        <v>5000</v>
      </c>
      <c r="M76" s="71">
        <f t="shared" si="47"/>
        <v>0</v>
      </c>
      <c r="N76" s="71">
        <f t="shared" si="47"/>
        <v>1038.191</v>
      </c>
      <c r="O76" s="71">
        <f>O77+O78+O79+O80</f>
        <v>6109.25</v>
      </c>
      <c r="P76" s="71">
        <f t="shared" si="47"/>
        <v>0</v>
      </c>
      <c r="Q76" s="71">
        <f t="shared" si="47"/>
        <v>0</v>
      </c>
      <c r="R76" s="71">
        <f t="shared" si="47"/>
        <v>0</v>
      </c>
      <c r="S76" s="71">
        <f t="shared" si="47"/>
        <v>0</v>
      </c>
      <c r="T76" s="71">
        <f t="shared" si="47"/>
        <v>0</v>
      </c>
      <c r="U76" s="71">
        <f t="shared" si="47"/>
        <v>0</v>
      </c>
      <c r="V76" s="71">
        <f t="shared" si="47"/>
        <v>0</v>
      </c>
      <c r="W76" s="71">
        <f t="shared" si="47"/>
        <v>0</v>
      </c>
      <c r="X76" s="71">
        <f t="shared" si="47"/>
        <v>109.71</v>
      </c>
      <c r="Y76" s="71">
        <f t="shared" si="47"/>
        <v>0</v>
      </c>
      <c r="Z76" s="71">
        <f t="shared" si="47"/>
        <v>0</v>
      </c>
      <c r="AA76" s="71">
        <f t="shared" si="47"/>
        <v>0</v>
      </c>
      <c r="AB76" s="71">
        <f t="shared" si="47"/>
        <v>38.256</v>
      </c>
      <c r="AC76" s="71">
        <f t="shared" si="47"/>
        <v>0</v>
      </c>
      <c r="AD76" s="71">
        <f t="shared" si="47"/>
        <v>0</v>
      </c>
      <c r="AE76" s="71">
        <f t="shared" si="47"/>
        <v>0</v>
      </c>
      <c r="AF76" s="71">
        <f t="shared" si="47"/>
        <v>0</v>
      </c>
      <c r="AG76" s="71">
        <f>AG77+AG78+AG79+AG80</f>
        <v>0</v>
      </c>
      <c r="AH76" s="60"/>
      <c r="AI76" s="20"/>
    </row>
    <row r="77" spans="1:35" s="22" customFormat="1" ht="28.5" hidden="1" customHeight="1" x14ac:dyDescent="0.25">
      <c r="A77" s="546"/>
      <c r="B77" s="534"/>
      <c r="C77" s="124" t="s">
        <v>52</v>
      </c>
      <c r="D77" s="74">
        <f>SUM(J77,L77,N77,P77,R77,T77,V77,X77,Z77,AB77,AD77,AF77)</f>
        <v>0</v>
      </c>
      <c r="E77" s="74">
        <f>J77</f>
        <v>0</v>
      </c>
      <c r="F77" s="74">
        <f>G77</f>
        <v>0</v>
      </c>
      <c r="G77" s="74">
        <f>SUM(K77,M77,O77,Q77,S77,U77,W77,Y77,AA77,AC77,AE77,AG77)</f>
        <v>0</v>
      </c>
      <c r="H77" s="74">
        <f t="shared" si="13"/>
        <v>0</v>
      </c>
      <c r="I77" s="74">
        <f t="shared" si="14"/>
        <v>0</v>
      </c>
      <c r="J77" s="67">
        <v>0</v>
      </c>
      <c r="K77" s="67">
        <v>0</v>
      </c>
      <c r="L77" s="67">
        <v>0</v>
      </c>
      <c r="M77" s="67">
        <v>0</v>
      </c>
      <c r="N77" s="67">
        <v>0</v>
      </c>
      <c r="O77" s="67">
        <v>0</v>
      </c>
      <c r="P77" s="67">
        <v>0</v>
      </c>
      <c r="Q77" s="67">
        <v>0</v>
      </c>
      <c r="R77" s="67">
        <v>0</v>
      </c>
      <c r="S77" s="67">
        <v>0</v>
      </c>
      <c r="T77" s="67">
        <v>0</v>
      </c>
      <c r="U77" s="67">
        <v>0</v>
      </c>
      <c r="V77" s="67">
        <v>0</v>
      </c>
      <c r="W77" s="67">
        <v>0</v>
      </c>
      <c r="X77" s="67">
        <v>0</v>
      </c>
      <c r="Y77" s="67">
        <v>0</v>
      </c>
      <c r="Z77" s="67">
        <v>0</v>
      </c>
      <c r="AA77" s="67">
        <v>0</v>
      </c>
      <c r="AB77" s="67">
        <v>0</v>
      </c>
      <c r="AC77" s="67">
        <v>0</v>
      </c>
      <c r="AD77" s="67">
        <v>0</v>
      </c>
      <c r="AE77" s="67">
        <v>0</v>
      </c>
      <c r="AF77" s="67">
        <v>0</v>
      </c>
      <c r="AG77" s="67">
        <v>0</v>
      </c>
      <c r="AH77" s="64"/>
      <c r="AI77" s="20"/>
    </row>
    <row r="78" spans="1:35" s="22" customFormat="1" ht="28.5" hidden="1" customHeight="1" x14ac:dyDescent="0.25">
      <c r="A78" s="546"/>
      <c r="B78" s="534"/>
      <c r="C78" s="124" t="s">
        <v>22</v>
      </c>
      <c r="D78" s="74">
        <f>SUM(J78,L78,N78,P78,R78,T78,V78,X78,Z78,AB78,AD78,AF78)</f>
        <v>0</v>
      </c>
      <c r="E78" s="74">
        <f>J78</f>
        <v>0</v>
      </c>
      <c r="F78" s="74">
        <f>G78</f>
        <v>0</v>
      </c>
      <c r="G78" s="74">
        <f>SUM(K78,M78,O78,Q78,S78,U78,W78,Y78,AA78,AC78,AE78,AG78)</f>
        <v>0</v>
      </c>
      <c r="H78" s="74">
        <f t="shared" ref="H78" si="48">IFERROR(G78/D78*100,0)</f>
        <v>0</v>
      </c>
      <c r="I78" s="74">
        <f t="shared" ref="I78" si="49">IFERROR(G78/E78*100,0)</f>
        <v>0</v>
      </c>
      <c r="J78" s="67">
        <v>0</v>
      </c>
      <c r="K78" s="67">
        <v>0</v>
      </c>
      <c r="L78" s="67">
        <v>0</v>
      </c>
      <c r="M78" s="67">
        <v>0</v>
      </c>
      <c r="N78" s="67">
        <v>0</v>
      </c>
      <c r="O78" s="67">
        <v>0</v>
      </c>
      <c r="P78" s="67">
        <v>0</v>
      </c>
      <c r="Q78" s="67">
        <v>0</v>
      </c>
      <c r="R78" s="67">
        <v>0</v>
      </c>
      <c r="S78" s="67">
        <v>0</v>
      </c>
      <c r="T78" s="67">
        <v>0</v>
      </c>
      <c r="U78" s="67">
        <v>0</v>
      </c>
      <c r="V78" s="67">
        <v>0</v>
      </c>
      <c r="W78" s="67">
        <v>0</v>
      </c>
      <c r="X78" s="67">
        <v>0</v>
      </c>
      <c r="Y78" s="67">
        <v>0</v>
      </c>
      <c r="Z78" s="67">
        <v>0</v>
      </c>
      <c r="AA78" s="67">
        <v>0</v>
      </c>
      <c r="AB78" s="67">
        <v>0</v>
      </c>
      <c r="AC78" s="67">
        <v>0</v>
      </c>
      <c r="AD78" s="67">
        <v>0</v>
      </c>
      <c r="AE78" s="67">
        <v>0</v>
      </c>
      <c r="AF78" s="67">
        <v>0</v>
      </c>
      <c r="AG78" s="67">
        <v>0</v>
      </c>
      <c r="AH78" s="64"/>
      <c r="AI78" s="20"/>
    </row>
    <row r="79" spans="1:35" s="26" customFormat="1" ht="75" customHeight="1" x14ac:dyDescent="0.25">
      <c r="A79" s="546"/>
      <c r="B79" s="534"/>
      <c r="C79" s="124" t="s">
        <v>21</v>
      </c>
      <c r="D79" s="74">
        <f>SUM(J79,L79,N79,P79,R79,T79,V79,X79,Z79,AB79,AD79,AF79)</f>
        <v>6262.3010000000004</v>
      </c>
      <c r="E79" s="74">
        <f>J79</f>
        <v>76.144000000000005</v>
      </c>
      <c r="F79" s="74">
        <f>G79</f>
        <v>6109.25</v>
      </c>
      <c r="G79" s="74">
        <f>SUM(K79,M79,O79,Q79,S79,U79,W79,Y79,AA79,AC79,AE79,AG79)</f>
        <v>6109.25</v>
      </c>
      <c r="H79" s="74">
        <f>IFERROR(G79/D79*100,0)</f>
        <v>97.555994194466209</v>
      </c>
      <c r="I79" s="74">
        <f>IFERROR(G79/E79*100,0)</f>
        <v>8023.2848287455345</v>
      </c>
      <c r="J79" s="67">
        <v>76.144000000000005</v>
      </c>
      <c r="K79" s="67">
        <v>0</v>
      </c>
      <c r="L79" s="67">
        <v>5000</v>
      </c>
      <c r="M79" s="67">
        <v>0</v>
      </c>
      <c r="N79" s="67">
        <v>1038.191</v>
      </c>
      <c r="O79" s="67">
        <v>6109.25</v>
      </c>
      <c r="P79" s="67">
        <v>0</v>
      </c>
      <c r="Q79" s="67">
        <v>0</v>
      </c>
      <c r="R79" s="67">
        <v>0</v>
      </c>
      <c r="S79" s="67">
        <v>0</v>
      </c>
      <c r="T79" s="67">
        <v>0</v>
      </c>
      <c r="U79" s="67">
        <v>0</v>
      </c>
      <c r="V79" s="67">
        <v>0</v>
      </c>
      <c r="W79" s="67">
        <v>0</v>
      </c>
      <c r="X79" s="67">
        <v>109.71</v>
      </c>
      <c r="Y79" s="67">
        <v>0</v>
      </c>
      <c r="Z79" s="67">
        <v>0</v>
      </c>
      <c r="AA79" s="67">
        <v>0</v>
      </c>
      <c r="AB79" s="67">
        <v>38.256</v>
      </c>
      <c r="AC79" s="67">
        <v>0</v>
      </c>
      <c r="AD79" s="67">
        <v>0</v>
      </c>
      <c r="AE79" s="67">
        <v>0</v>
      </c>
      <c r="AF79" s="67">
        <v>0</v>
      </c>
      <c r="AG79" s="67">
        <v>0</v>
      </c>
      <c r="AH79" s="72"/>
      <c r="AI79" s="24"/>
    </row>
    <row r="80" spans="1:35" s="26" customFormat="1" ht="37.5" hidden="1" customHeight="1" x14ac:dyDescent="0.25">
      <c r="A80" s="540"/>
      <c r="B80" s="534"/>
      <c r="C80" s="124" t="s">
        <v>113</v>
      </c>
      <c r="D80" s="74">
        <f>SUM(J80,L80,N80,P80,R80,T80,V80,X80,Z80,AB80,AD80,AF80)</f>
        <v>0</v>
      </c>
      <c r="E80" s="74">
        <f>J80</f>
        <v>0</v>
      </c>
      <c r="F80" s="74">
        <f>G80</f>
        <v>0</v>
      </c>
      <c r="G80" s="74">
        <f>SUM(K80,M80,O80,Q80,S80,U80,W80,Y80,AA80,AC80,AE80,AG80)</f>
        <v>0</v>
      </c>
      <c r="H80" s="74">
        <f t="shared" ref="H80" si="50">IFERROR(G80/D80*100,0)</f>
        <v>0</v>
      </c>
      <c r="I80" s="74">
        <f t="shared" ref="I80" si="51">IFERROR(G80/E80*100,0)</f>
        <v>0</v>
      </c>
      <c r="J80" s="67">
        <v>0</v>
      </c>
      <c r="K80" s="67">
        <v>0</v>
      </c>
      <c r="L80" s="67">
        <v>0</v>
      </c>
      <c r="M80" s="67">
        <v>0</v>
      </c>
      <c r="N80" s="67">
        <v>0</v>
      </c>
      <c r="O80" s="67">
        <v>0</v>
      </c>
      <c r="P80" s="67">
        <v>0</v>
      </c>
      <c r="Q80" s="67">
        <v>0</v>
      </c>
      <c r="R80" s="67">
        <v>0</v>
      </c>
      <c r="S80" s="67">
        <v>0</v>
      </c>
      <c r="T80" s="67">
        <v>0</v>
      </c>
      <c r="U80" s="67">
        <v>0</v>
      </c>
      <c r="V80" s="67">
        <v>0</v>
      </c>
      <c r="W80" s="67">
        <v>0</v>
      </c>
      <c r="X80" s="67">
        <v>0</v>
      </c>
      <c r="Y80" s="67">
        <v>0</v>
      </c>
      <c r="Z80" s="67">
        <v>0</v>
      </c>
      <c r="AA80" s="67">
        <v>0</v>
      </c>
      <c r="AB80" s="67">
        <v>0</v>
      </c>
      <c r="AC80" s="67">
        <v>0</v>
      </c>
      <c r="AD80" s="67">
        <v>0</v>
      </c>
      <c r="AE80" s="67">
        <v>0</v>
      </c>
      <c r="AF80" s="67">
        <v>0</v>
      </c>
      <c r="AG80" s="67">
        <v>0</v>
      </c>
      <c r="AH80" s="72"/>
      <c r="AI80" s="24"/>
    </row>
    <row r="81" spans="1:35" s="18" customFormat="1" ht="18.75" customHeight="1" x14ac:dyDescent="0.25">
      <c r="A81" s="156" t="s">
        <v>288</v>
      </c>
      <c r="B81" s="596" t="s">
        <v>289</v>
      </c>
      <c r="C81" s="597"/>
      <c r="D81" s="597"/>
      <c r="E81" s="597"/>
      <c r="F81" s="597"/>
      <c r="G81" s="597"/>
      <c r="H81" s="597"/>
      <c r="I81" s="597"/>
      <c r="J81" s="597"/>
      <c r="K81" s="597"/>
      <c r="L81" s="597"/>
      <c r="M81" s="597"/>
      <c r="N81" s="597"/>
      <c r="O81" s="597"/>
      <c r="P81" s="597"/>
      <c r="Q81" s="597"/>
      <c r="R81" s="597"/>
      <c r="S81" s="597"/>
      <c r="T81" s="597"/>
      <c r="U81" s="597"/>
      <c r="V81" s="597"/>
      <c r="W81" s="597"/>
      <c r="X81" s="597"/>
      <c r="Y81" s="597"/>
      <c r="Z81" s="597"/>
      <c r="AA81" s="597"/>
      <c r="AB81" s="597"/>
      <c r="AC81" s="597"/>
      <c r="AD81" s="597"/>
      <c r="AE81" s="597"/>
      <c r="AF81" s="597"/>
      <c r="AG81" s="598"/>
      <c r="AH81" s="46"/>
    </row>
    <row r="82" spans="1:35" s="22" customFormat="1" ht="51.75" customHeight="1" x14ac:dyDescent="0.25">
      <c r="A82" s="545" t="s">
        <v>290</v>
      </c>
      <c r="B82" s="533" t="s">
        <v>291</v>
      </c>
      <c r="C82" s="123" t="s">
        <v>20</v>
      </c>
      <c r="D82" s="70">
        <f>D83+D84+D85</f>
        <v>7648.9</v>
      </c>
      <c r="E82" s="70">
        <f t="shared" ref="E82:G82" si="52">E83+E84+E85</f>
        <v>1103.6410000000001</v>
      </c>
      <c r="F82" s="70">
        <f t="shared" si="52"/>
        <v>5017.7449999999999</v>
      </c>
      <c r="G82" s="70">
        <f t="shared" si="52"/>
        <v>5017.7449999999999</v>
      </c>
      <c r="H82" s="70">
        <f t="shared" ref="H82:H83" si="53">IFERROR(G82/D82*100,0)</f>
        <v>65.600870713435924</v>
      </c>
      <c r="I82" s="70">
        <f t="shared" ref="I82:I83" si="54">IFERROR(G82/E82*100,0)</f>
        <v>454.65373250903144</v>
      </c>
      <c r="J82" s="71">
        <f t="shared" ref="J82:AF82" si="55">J83+J84+J85</f>
        <v>1103.6410000000001</v>
      </c>
      <c r="K82" s="71">
        <f t="shared" si="55"/>
        <v>575.30499999999995</v>
      </c>
      <c r="L82" s="71">
        <f t="shared" si="55"/>
        <v>651.58299999999997</v>
      </c>
      <c r="M82" s="71">
        <f t="shared" si="55"/>
        <v>791.59</v>
      </c>
      <c r="N82" s="71">
        <f t="shared" si="55"/>
        <v>433.56299999999999</v>
      </c>
      <c r="O82" s="71">
        <f t="shared" si="55"/>
        <v>495.31</v>
      </c>
      <c r="P82" s="71">
        <f t="shared" si="55"/>
        <v>791.428</v>
      </c>
      <c r="Q82" s="71">
        <f t="shared" si="55"/>
        <v>436.44</v>
      </c>
      <c r="R82" s="71">
        <f t="shared" si="55"/>
        <v>592.79899999999998</v>
      </c>
      <c r="S82" s="71">
        <f t="shared" si="55"/>
        <v>937.7</v>
      </c>
      <c r="T82" s="71">
        <f t="shared" si="55"/>
        <v>433.55900000000003</v>
      </c>
      <c r="U82" s="71">
        <f t="shared" si="55"/>
        <v>750.76</v>
      </c>
      <c r="V82" s="71">
        <f t="shared" si="55"/>
        <v>791.428</v>
      </c>
      <c r="W82" s="71">
        <f t="shared" si="55"/>
        <v>644.99</v>
      </c>
      <c r="X82" s="71">
        <f t="shared" si="55"/>
        <v>735.08299999999997</v>
      </c>
      <c r="Y82" s="71">
        <f t="shared" si="55"/>
        <v>385.65</v>
      </c>
      <c r="Z82" s="71">
        <f t="shared" si="55"/>
        <v>476.529</v>
      </c>
      <c r="AA82" s="71">
        <f t="shared" si="55"/>
        <v>0</v>
      </c>
      <c r="AB82" s="71">
        <f t="shared" si="55"/>
        <v>557.95899999999995</v>
      </c>
      <c r="AC82" s="71">
        <f t="shared" si="55"/>
        <v>0</v>
      </c>
      <c r="AD82" s="71">
        <f t="shared" si="55"/>
        <v>506.85899999999998</v>
      </c>
      <c r="AE82" s="71">
        <f t="shared" si="55"/>
        <v>0</v>
      </c>
      <c r="AF82" s="71">
        <f t="shared" si="55"/>
        <v>574.46900000000005</v>
      </c>
      <c r="AG82" s="71">
        <f>AG83+AG84+AG85</f>
        <v>0</v>
      </c>
      <c r="AH82" s="60"/>
      <c r="AI82" s="20"/>
    </row>
    <row r="83" spans="1:35" s="22" customFormat="1" ht="28.5" hidden="1" customHeight="1" x14ac:dyDescent="0.25">
      <c r="A83" s="546"/>
      <c r="B83" s="534"/>
      <c r="C83" s="124" t="s">
        <v>52</v>
      </c>
      <c r="D83" s="74">
        <f>SUM(J83,L83,N83,P83,R83,T83,V83,X83,Z83,AB83,AD83,AF83)</f>
        <v>0</v>
      </c>
      <c r="E83" s="74">
        <f>J83</f>
        <v>0</v>
      </c>
      <c r="F83" s="74">
        <f>G83</f>
        <v>0</v>
      </c>
      <c r="G83" s="74">
        <f>SUM(K83,M83,O83,Q83,S83,U83,W83,Y83,AA83,AC83,AE83,AG83)</f>
        <v>0</v>
      </c>
      <c r="H83" s="74">
        <f t="shared" si="53"/>
        <v>0</v>
      </c>
      <c r="I83" s="74">
        <f t="shared" si="54"/>
        <v>0</v>
      </c>
      <c r="J83" s="71">
        <v>0</v>
      </c>
      <c r="K83" s="71">
        <v>0</v>
      </c>
      <c r="L83" s="71">
        <v>0</v>
      </c>
      <c r="M83" s="71">
        <v>0</v>
      </c>
      <c r="N83" s="71">
        <v>0</v>
      </c>
      <c r="O83" s="71">
        <v>0</v>
      </c>
      <c r="P83" s="71">
        <v>0</v>
      </c>
      <c r="Q83" s="71">
        <v>0</v>
      </c>
      <c r="R83" s="71">
        <v>0</v>
      </c>
      <c r="S83" s="71">
        <v>0</v>
      </c>
      <c r="T83" s="71">
        <v>0</v>
      </c>
      <c r="U83" s="71">
        <v>0</v>
      </c>
      <c r="V83" s="71">
        <v>0</v>
      </c>
      <c r="W83" s="71">
        <v>0</v>
      </c>
      <c r="X83" s="71">
        <v>0</v>
      </c>
      <c r="Y83" s="71">
        <v>0</v>
      </c>
      <c r="Z83" s="71">
        <v>0</v>
      </c>
      <c r="AA83" s="71">
        <v>0</v>
      </c>
      <c r="AB83" s="71">
        <v>0</v>
      </c>
      <c r="AC83" s="71">
        <v>0</v>
      </c>
      <c r="AD83" s="71">
        <v>0</v>
      </c>
      <c r="AE83" s="71">
        <v>0</v>
      </c>
      <c r="AF83" s="71">
        <v>0</v>
      </c>
      <c r="AG83" s="71">
        <v>0</v>
      </c>
      <c r="AH83" s="60"/>
      <c r="AI83" s="20"/>
    </row>
    <row r="84" spans="1:35" s="26" customFormat="1" ht="59.25" hidden="1" customHeight="1" x14ac:dyDescent="0.25">
      <c r="A84" s="546"/>
      <c r="B84" s="534"/>
      <c r="C84" s="124" t="s">
        <v>22</v>
      </c>
      <c r="D84" s="74">
        <f>SUM(J84,L84,N84,P84,R84,T84,V84,X84,Z84,AB84,AD84,AF84)</f>
        <v>0</v>
      </c>
      <c r="E84" s="74">
        <f>J84</f>
        <v>0</v>
      </c>
      <c r="F84" s="74">
        <f>G84</f>
        <v>0</v>
      </c>
      <c r="G84" s="74">
        <f>SUM(K84,M84,O84,Q84,S84,U84,W84,Y84,AA84,AC84,AE84,AG84)</f>
        <v>0</v>
      </c>
      <c r="H84" s="74">
        <f>IFERROR(G84/D84*100,0)</f>
        <v>0</v>
      </c>
      <c r="I84" s="74">
        <f>IFERROR(G84/E84*100,0)</f>
        <v>0</v>
      </c>
      <c r="J84" s="67">
        <v>0</v>
      </c>
      <c r="K84" s="67">
        <v>0</v>
      </c>
      <c r="L84" s="67">
        <v>0</v>
      </c>
      <c r="M84" s="67">
        <v>0</v>
      </c>
      <c r="N84" s="67">
        <v>0</v>
      </c>
      <c r="O84" s="67">
        <v>0</v>
      </c>
      <c r="P84" s="67">
        <v>0</v>
      </c>
      <c r="Q84" s="67">
        <v>0</v>
      </c>
      <c r="R84" s="67">
        <v>0</v>
      </c>
      <c r="S84" s="67">
        <v>0</v>
      </c>
      <c r="T84" s="67">
        <v>0</v>
      </c>
      <c r="U84" s="67">
        <v>0</v>
      </c>
      <c r="V84" s="67">
        <v>0</v>
      </c>
      <c r="W84" s="67">
        <v>0</v>
      </c>
      <c r="X84" s="67">
        <v>0</v>
      </c>
      <c r="Y84" s="67">
        <v>0</v>
      </c>
      <c r="Z84" s="67">
        <v>0</v>
      </c>
      <c r="AA84" s="67">
        <v>0</v>
      </c>
      <c r="AB84" s="67">
        <v>0</v>
      </c>
      <c r="AC84" s="67">
        <v>0</v>
      </c>
      <c r="AD84" s="67">
        <v>0</v>
      </c>
      <c r="AE84" s="67">
        <v>0</v>
      </c>
      <c r="AF84" s="67">
        <v>0</v>
      </c>
      <c r="AG84" s="67">
        <v>0</v>
      </c>
      <c r="AH84" s="72"/>
      <c r="AI84" s="24"/>
    </row>
    <row r="85" spans="1:35" s="26" customFormat="1" ht="127.5" customHeight="1" x14ac:dyDescent="0.25">
      <c r="A85" s="541"/>
      <c r="B85" s="535"/>
      <c r="C85" s="124" t="s">
        <v>21</v>
      </c>
      <c r="D85" s="74">
        <f>SUM(J85,L85,N85,P85,R85,T85,V85,X85,Z85,AB85,AD85,AF85)</f>
        <v>7648.9</v>
      </c>
      <c r="E85" s="74">
        <f>J85</f>
        <v>1103.6410000000001</v>
      </c>
      <c r="F85" s="74">
        <f>G85</f>
        <v>5017.7449999999999</v>
      </c>
      <c r="G85" s="74">
        <f>SUM(K85,M85,O85,Q85,S85,U85,W85,Y85,AA85,AC85,AE85,AG85)</f>
        <v>5017.7449999999999</v>
      </c>
      <c r="H85" s="74">
        <f>IFERROR(G85/D85*100,0)</f>
        <v>65.600870713435924</v>
      </c>
      <c r="I85" s="74">
        <f>IFERROR(G85/E85*100,0)</f>
        <v>454.65373250903144</v>
      </c>
      <c r="J85" s="67">
        <v>1103.6410000000001</v>
      </c>
      <c r="K85" s="67">
        <v>575.30499999999995</v>
      </c>
      <c r="L85" s="67">
        <v>651.58299999999997</v>
      </c>
      <c r="M85" s="67">
        <v>791.59</v>
      </c>
      <c r="N85" s="67">
        <v>433.56299999999999</v>
      </c>
      <c r="O85" s="67">
        <v>495.31</v>
      </c>
      <c r="P85" s="67">
        <v>791.428</v>
      </c>
      <c r="Q85" s="67">
        <v>436.44</v>
      </c>
      <c r="R85" s="67">
        <v>592.79899999999998</v>
      </c>
      <c r="S85" s="67">
        <v>937.7</v>
      </c>
      <c r="T85" s="67">
        <v>433.55900000000003</v>
      </c>
      <c r="U85" s="67">
        <v>750.76</v>
      </c>
      <c r="V85" s="67">
        <v>791.428</v>
      </c>
      <c r="W85" s="67">
        <v>644.99</v>
      </c>
      <c r="X85" s="67">
        <v>735.08299999999997</v>
      </c>
      <c r="Y85" s="67">
        <v>385.65</v>
      </c>
      <c r="Z85" s="67">
        <v>476.529</v>
      </c>
      <c r="AA85" s="67">
        <v>0</v>
      </c>
      <c r="AB85" s="67">
        <v>557.95899999999995</v>
      </c>
      <c r="AC85" s="67">
        <v>0</v>
      </c>
      <c r="AD85" s="67">
        <v>506.85899999999998</v>
      </c>
      <c r="AE85" s="67">
        <v>0</v>
      </c>
      <c r="AF85" s="67">
        <v>574.46900000000005</v>
      </c>
      <c r="AG85" s="67">
        <v>0</v>
      </c>
      <c r="AH85" s="72"/>
      <c r="AI85" s="24"/>
    </row>
    <row r="86" spans="1:35" ht="94.5" customHeight="1" x14ac:dyDescent="0.25"/>
  </sheetData>
  <customSheetViews>
    <customSheetView guid="{133BB3F8-8DD4-4AEF-8CD6-A5FB14681329}" scale="70" hiddenRows="1" state="hidden">
      <pane xSplit="6" ySplit="7" topLeftCell="G8" activePane="bottomRight" state="frozen"/>
      <selection pane="bottomRight" activeCell="Q19" sqref="Q19"/>
      <pageMargins left="0.7" right="0.7" top="0.75" bottom="0.75" header="0.3" footer="0.3"/>
      <pageSetup paperSize="9" orientation="portrait" r:id="rId1"/>
    </customSheetView>
    <customSheetView guid="{7C5A2A36-3D69-43D9-9018-A52C27EC78F9}" scale="70" hiddenRows="1">
      <pane xSplit="6" ySplit="7" topLeftCell="G59" activePane="bottomRight" state="frozen"/>
      <selection pane="bottomRight" activeCell="I70" sqref="I70"/>
      <pageMargins left="0.7" right="0.7" top="0.75" bottom="0.75" header="0.3" footer="0.3"/>
      <pageSetup paperSize="9" orientation="portrait" r:id="rId2"/>
    </customSheetView>
    <customSheetView guid="{2A5A11D4-90C6-4A3E-8165-7D7BD634B22F}" scale="70" hiddenRows="1">
      <pane xSplit="6" ySplit="7" topLeftCell="G8" activePane="bottomRight" state="frozen"/>
      <selection pane="bottomRight" activeCell="I70" sqref="I70"/>
      <pageMargins left="0.7" right="0.7" top="0.75" bottom="0.75" header="0.3" footer="0.3"/>
      <pageSetup paperSize="9" orientation="portrait" r:id="rId3"/>
    </customSheetView>
    <customSheetView guid="{996EC2F0-F6EC-4E63-A83E-34865157BD8D}" scale="70" hiddenRows="1">
      <pane xSplit="6" ySplit="7" topLeftCell="G8" activePane="bottomRight" state="frozen"/>
      <selection pane="bottomRight" activeCell="I70" sqref="I70"/>
      <pageMargins left="0.7" right="0.7" top="0.75" bottom="0.75" header="0.3" footer="0.3"/>
      <pageSetup paperSize="9" orientation="portrait" r:id="rId4"/>
    </customSheetView>
    <customSheetView guid="{AB9978E4-895D-4050-8F07-2484E22632D1}" scale="70" hiddenRows="1">
      <pane xSplit="6" ySplit="7" topLeftCell="O8" activePane="bottomRight" state="frozen"/>
      <selection pane="bottomRight" activeCell="C18" sqref="C18"/>
      <pageMargins left="0.7" right="0.7" top="0.75" bottom="0.75" header="0.3" footer="0.3"/>
      <pageSetup paperSize="9" orientation="portrait" r:id="rId5"/>
    </customSheetView>
    <customSheetView guid="{21E1D423-7B38-4272-8354-09B4DB62C9EB}" scale="70" hiddenRows="1">
      <pane xSplit="6" ySplit="7" topLeftCell="G39" activePane="bottomRight" state="frozen"/>
      <selection pane="bottomRight" activeCell="I70" sqref="I70"/>
      <pageMargins left="0.7" right="0.7" top="0.75" bottom="0.75" header="0.3" footer="0.3"/>
      <pageSetup paperSize="9" orientation="portrait" r:id="rId6"/>
    </customSheetView>
    <customSheetView guid="{2940A182-D1A7-43C5-8D6E-965BED4371B0}" scale="70" hiddenRows="1">
      <pane xSplit="6" ySplit="7" topLeftCell="G59" activePane="bottomRight" state="frozen"/>
      <selection pane="bottomRight" activeCell="I70" sqref="I70"/>
      <pageMargins left="0.7" right="0.7" top="0.75" bottom="0.75" header="0.3" footer="0.3"/>
      <pageSetup paperSize="9" orientation="portrait" r:id="rId7"/>
    </customSheetView>
    <customSheetView guid="{A0E2FBF6-E560-4343-8BE6-217DC798135B}" scale="70" hiddenRows="1">
      <pane xSplit="6" ySplit="7" topLeftCell="G8" activePane="bottomRight" state="frozen"/>
      <selection pane="bottomRight" activeCell="I70" sqref="I70"/>
      <pageMargins left="0.7" right="0.7" top="0.75" bottom="0.75" header="0.3" footer="0.3"/>
      <pageSetup paperSize="9" orientation="portrait" r:id="rId8"/>
    </customSheetView>
    <customSheetView guid="{BBF6B43F-E0FC-43DF-B91C-674F6AB4B556}" scale="70" hiddenRows="1">
      <pane xSplit="6" ySplit="7" topLeftCell="Q8" activePane="bottomRight" state="frozen"/>
      <selection pane="bottomRight" activeCell="AH47" sqref="AH47"/>
      <pageMargins left="0.7" right="0.7" top="0.75" bottom="0.75" header="0.3" footer="0.3"/>
      <pageSetup paperSize="9" orientation="portrait" r:id="rId9"/>
    </customSheetView>
    <customSheetView guid="{C68436F4-AFB3-4D1D-A7C4-56D0C677D68E}" scale="70" hiddenRows="1">
      <pane xSplit="6" ySplit="7" topLeftCell="G8" activePane="bottomRight" state="frozen"/>
      <selection pane="bottomRight" activeCell="I70" sqref="I70"/>
      <pageMargins left="0.7" right="0.7" top="0.75" bottom="0.75" header="0.3" footer="0.3"/>
      <pageSetup paperSize="9" orientation="portrait" r:id="rId10"/>
    </customSheetView>
    <customSheetView guid="{DAEDC989-02E7-4319-8354-59410ACF3F1F}" scale="70" hiddenRows="1">
      <pane xSplit="6" ySplit="7" topLeftCell="G8" activePane="bottomRight" state="frozen"/>
      <selection pane="bottomRight" activeCell="I70" sqref="I70"/>
      <pageMargins left="0.7" right="0.7" top="0.75" bottom="0.75" header="0.3" footer="0.3"/>
      <pageSetup paperSize="9" orientation="portrait" r:id="rId11"/>
    </customSheetView>
    <customSheetView guid="{519948E4-0B24-465F-9D9E-44BE50D1D647}" scale="70" hiddenRows="1">
      <pane xSplit="6" ySplit="7" topLeftCell="G59" activePane="bottomRight" state="frozen"/>
      <selection pane="bottomRight" activeCell="I70" sqref="I70"/>
      <pageMargins left="0.7" right="0.7" top="0.75" bottom="0.75" header="0.3" footer="0.3"/>
      <pageSetup paperSize="9" orientation="portrait" r:id="rId12"/>
    </customSheetView>
    <customSheetView guid="{C7DC638A-7F60-46C9-A1FB-9ADEAE87F332}" scale="70" hiddenRows="1">
      <pane xSplit="6" ySplit="7" topLeftCell="G59" activePane="bottomRight" state="frozen"/>
      <selection pane="bottomRight" activeCell="I70" sqref="I70"/>
      <pageMargins left="0.7" right="0.7" top="0.75" bottom="0.75" header="0.3" footer="0.3"/>
      <pageSetup paperSize="9" orientation="portrait" r:id="rId13"/>
    </customSheetView>
    <customSheetView guid="{C01DC081-B312-4391-B775-A8CE76216D71}" scale="70" hiddenRows="1">
      <pane xSplit="6" ySplit="7" topLeftCell="O8" activePane="bottomRight" state="frozen"/>
      <selection pane="bottomRight" activeCell="C18" sqref="C18"/>
      <pageMargins left="0.7" right="0.7" top="0.75" bottom="0.75" header="0.3" footer="0.3"/>
      <pageSetup paperSize="9" orientation="portrait" r:id="rId14"/>
    </customSheetView>
    <customSheetView guid="{562453CE-35F5-40A3-AD14-6399D1197C99}" scale="70" hiddenRows="1">
      <pane xSplit="6" ySplit="7" topLeftCell="G8" activePane="bottomRight" state="frozen"/>
      <selection pane="bottomRight" activeCell="I70" sqref="I70"/>
      <pageMargins left="0.7" right="0.7" top="0.75" bottom="0.75" header="0.3" footer="0.3"/>
      <pageSetup paperSize="9" orientation="portrait" r:id="rId15"/>
    </customSheetView>
    <customSheetView guid="{A7640BE7-6438-4196-9A67-AF5B992A1E70}" scale="70" hiddenRows="1">
      <pane xSplit="6" ySplit="7" topLeftCell="O8" activePane="bottomRight" state="frozen"/>
      <selection pane="bottomRight" activeCell="C18" sqref="C18"/>
      <pageMargins left="0.7" right="0.7" top="0.75" bottom="0.75" header="0.3" footer="0.3"/>
      <pageSetup paperSize="9" orientation="portrait" r:id="rId16"/>
    </customSheetView>
    <customSheetView guid="{30B635D9-57DB-47D5-8A0F-4B30DD769960}" scale="70" hiddenRows="1">
      <pane xSplit="6" ySplit="7" topLeftCell="G8" activePane="bottomRight" state="frozen"/>
      <selection pane="bottomRight" activeCell="V3" sqref="V3"/>
      <pageMargins left="0.7" right="0.7" top="0.75" bottom="0.75" header="0.3" footer="0.3"/>
      <pageSetup paperSize="9" orientation="portrait" r:id="rId17"/>
    </customSheetView>
    <customSheetView guid="{20A05A62-CBE8-4538-BBC3-2AD9D3B8FAC0}" scale="70" hiddenRows="1">
      <pane xSplit="6" ySplit="7" topLeftCell="G8" activePane="bottomRight" state="frozen"/>
      <selection pane="bottomRight" activeCell="I70" sqref="I70"/>
      <pageMargins left="0.7" right="0.7" top="0.75" bottom="0.75" header="0.3" footer="0.3"/>
      <pageSetup paperSize="9" orientation="portrait" r:id="rId18"/>
    </customSheetView>
    <customSheetView guid="{C282AA4E-1BB5-4296-9AC6-844C0F88E5FC}" scale="70" hiddenRows="1">
      <pane xSplit="6" ySplit="7" topLeftCell="G59" activePane="bottomRight" state="frozen"/>
      <selection pane="bottomRight" activeCell="I70" sqref="I70"/>
      <pageMargins left="0.7" right="0.7" top="0.75" bottom="0.75" header="0.3" footer="0.3"/>
      <pageSetup paperSize="9" orientation="portrait" r:id="rId19"/>
    </customSheetView>
    <customSheetView guid="{4E221C17-6DAB-4FFA-B18C-35D4D85AF6E8}" scale="70" hiddenRows="1">
      <pane xSplit="6" ySplit="7" topLeftCell="G8" activePane="bottomRight" state="frozen"/>
      <selection pane="bottomRight" activeCell="V3" sqref="V3"/>
      <pageMargins left="0.7" right="0.7" top="0.75" bottom="0.75" header="0.3" footer="0.3"/>
      <pageSetup paperSize="9" orientation="portrait" r:id="rId20"/>
    </customSheetView>
    <customSheetView guid="{AFADB96A-0516-43C1-9F1B-0604F3CAC04A}" scale="70" hiddenRows="1">
      <pane xSplit="6" ySplit="7" topLeftCell="G8" activePane="bottomRight" state="frozen"/>
      <selection pane="bottomRight" activeCell="I70" sqref="I70"/>
      <pageMargins left="0.7" right="0.7" top="0.75" bottom="0.75" header="0.3" footer="0.3"/>
      <pageSetup paperSize="9" orientation="portrait" r:id="rId21"/>
    </customSheetView>
    <customSheetView guid="{F528EF6A-C113-49B5-B25F-D660F898CBFB}" scale="70" hiddenRows="1">
      <pane xSplit="6" ySplit="7" topLeftCell="G59" activePane="bottomRight" state="frozen"/>
      <selection pane="bottomRight" activeCell="I70" sqref="I70"/>
      <pageMargins left="0.7" right="0.7" top="0.75" bottom="0.75" header="0.3" footer="0.3"/>
      <pageSetup paperSize="9" orientation="portrait" r:id="rId22"/>
    </customSheetView>
    <customSheetView guid="{B6B60ED6-A6CC-4DA7-A8CA-5E6DB52D5A87}" scale="70" hiddenRows="1">
      <pane xSplit="6" ySplit="7" topLeftCell="G24" activePane="bottomRight" state="frozen"/>
      <selection pane="bottomRight" activeCell="N87" sqref="N87"/>
      <pageMargins left="0.7" right="0.7" top="0.75" bottom="0.75" header="0.3" footer="0.3"/>
      <pageSetup paperSize="9" orientation="portrait" r:id="rId23"/>
    </customSheetView>
    <customSheetView guid="{A4AF2100-C59D-4F60-9EAB-56D9103463F7}" scale="70" hiddenRows="1">
      <pane xSplit="6" ySplit="7" topLeftCell="G8" activePane="bottomRight" state="frozen"/>
      <selection pane="bottomRight" activeCell="I70" sqref="I70"/>
      <pageMargins left="0.7" right="0.7" top="0.75" bottom="0.75" header="0.3" footer="0.3"/>
      <pageSetup paperSize="9" orientation="portrait" r:id="rId24"/>
    </customSheetView>
    <customSheetView guid="{EA46B61D-849C-4795-A4FF-F8F1740022EB}" scale="70" hiddenRows="1">
      <pane xSplit="6" ySplit="7" topLeftCell="G8" activePane="bottomRight" state="frozen"/>
      <selection pane="bottomRight" activeCell="I70" sqref="I70"/>
      <pageMargins left="0.7" right="0.7" top="0.75" bottom="0.75" header="0.3" footer="0.3"/>
      <pageSetup paperSize="9" orientation="portrait" r:id="rId25"/>
    </customSheetView>
    <customSheetView guid="{B686A221-D885-4536-BEAC-E7F4BBC02150}" scale="70" hiddenRows="1">
      <pane xSplit="6" ySplit="7" topLeftCell="G24" activePane="bottomRight" state="frozen"/>
      <selection pane="bottomRight" activeCell="N87" sqref="N87"/>
      <pageMargins left="0.7" right="0.7" top="0.75" bottom="0.75" header="0.3" footer="0.3"/>
      <pageSetup paperSize="9" orientation="portrait" r:id="rId26"/>
    </customSheetView>
    <customSheetView guid="{60A1F930-4BEC-460A-8E14-01E47F6DD055}" scale="70" hiddenRows="1">
      <pane xSplit="6" ySplit="4" topLeftCell="G17" activePane="bottomRight" state="frozen"/>
      <selection pane="bottomRight" activeCell="I70" sqref="I70"/>
      <pageMargins left="0.7" right="0.7" top="0.75" bottom="0.75" header="0.3" footer="0.3"/>
      <pageSetup paperSize="9" orientation="portrait" r:id="rId27"/>
    </customSheetView>
    <customSheetView guid="{5DF2C78B-5EE4-439D-8D72-8D3A913B65F9}" scale="70" hiddenRows="1">
      <pane xSplit="6" ySplit="7" topLeftCell="G59" activePane="bottomRight" state="frozen"/>
      <selection pane="bottomRight" activeCell="I70" sqref="I70"/>
      <pageMargins left="0.7" right="0.7" top="0.75" bottom="0.75" header="0.3" footer="0.3"/>
      <pageSetup paperSize="9" orientation="portrait" r:id="rId28"/>
    </customSheetView>
  </customSheetViews>
  <mergeCells count="57">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A19:A23"/>
    <mergeCell ref="B19:B23"/>
    <mergeCell ref="A24:A28"/>
    <mergeCell ref="B24:B28"/>
    <mergeCell ref="A29:A33"/>
    <mergeCell ref="B29:B33"/>
    <mergeCell ref="A60:A64"/>
    <mergeCell ref="B60:B64"/>
    <mergeCell ref="A34:A38"/>
    <mergeCell ref="B34:B38"/>
    <mergeCell ref="A39:A43"/>
    <mergeCell ref="B39:B43"/>
    <mergeCell ref="A44:A48"/>
    <mergeCell ref="B44:B48"/>
    <mergeCell ref="A49:A53"/>
    <mergeCell ref="B49:B53"/>
    <mergeCell ref="A54:A58"/>
    <mergeCell ref="B54:B58"/>
    <mergeCell ref="B59:AG59"/>
    <mergeCell ref="B81:AG81"/>
    <mergeCell ref="A82:A85"/>
    <mergeCell ref="B82:B85"/>
    <mergeCell ref="A65:A69"/>
    <mergeCell ref="B65:B69"/>
    <mergeCell ref="A70:A74"/>
    <mergeCell ref="B70:B74"/>
    <mergeCell ref="B75:AG75"/>
    <mergeCell ref="A76:A80"/>
    <mergeCell ref="B76:B80"/>
  </mergeCells>
  <pageMargins left="0.7" right="0.7" top="0.75" bottom="0.75" header="0.3" footer="0.3"/>
  <pageSetup paperSize="9" orientation="portrait" r:id="rId2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zoomScale="80" zoomScaleNormal="80" workbookViewId="0">
      <pane xSplit="6" ySplit="7" topLeftCell="G50" activePane="bottomRight" state="frozen"/>
      <selection pane="topRight" activeCell="G1" sqref="G1"/>
      <selection pane="bottomLeft" activeCell="A8" sqref="A8"/>
      <selection pane="bottomRight" activeCell="Q19" sqref="Q19"/>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6"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6"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6" s="10" customFormat="1" ht="27" customHeight="1" x14ac:dyDescent="0.25">
      <c r="A3" s="55"/>
      <c r="B3" s="55"/>
      <c r="C3" s="513" t="s">
        <v>204</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6" s="10" customFormat="1" ht="15" customHeight="1" x14ac:dyDescent="0.25">
      <c r="A4" s="514" t="s">
        <v>26</v>
      </c>
      <c r="B4" s="517" t="s">
        <v>29</v>
      </c>
      <c r="C4" s="520" t="s">
        <v>30</v>
      </c>
      <c r="D4" s="523"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6" s="10" customFormat="1" ht="39" customHeight="1" x14ac:dyDescent="0.25">
      <c r="A5" s="515"/>
      <c r="B5" s="518"/>
      <c r="C5" s="521"/>
      <c r="D5" s="524"/>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6" s="10" customFormat="1" ht="64.5" customHeight="1" x14ac:dyDescent="0.25">
      <c r="A6" s="516"/>
      <c r="B6" s="519"/>
      <c r="C6" s="522"/>
      <c r="D6" s="121">
        <v>2025</v>
      </c>
      <c r="E6" s="39">
        <v>45839</v>
      </c>
      <c r="F6" s="39">
        <v>45839</v>
      </c>
      <c r="G6" s="39">
        <v>45839</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6" s="32" customFormat="1" ht="15.75" x14ac:dyDescent="0.25">
      <c r="A7" s="40">
        <v>1</v>
      </c>
      <c r="B7" s="40">
        <v>2</v>
      </c>
      <c r="C7" s="122">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6" s="25" customFormat="1" ht="31.5" customHeight="1" x14ac:dyDescent="0.25">
      <c r="A8" s="530"/>
      <c r="B8" s="533" t="s">
        <v>23</v>
      </c>
      <c r="C8" s="123" t="s">
        <v>20</v>
      </c>
      <c r="D8" s="70">
        <f>D10+D11</f>
        <v>37627.900000000009</v>
      </c>
      <c r="E8" s="70">
        <f>E10+E11</f>
        <v>16389.969509999999</v>
      </c>
      <c r="F8" s="70">
        <f>F10+F11</f>
        <v>15632.780560000001</v>
      </c>
      <c r="G8" s="70">
        <f>G10+G11</f>
        <v>15203.562109999999</v>
      </c>
      <c r="H8" s="70">
        <f>IFERROR(G8/D8*100,0)</f>
        <v>40.405024224046507</v>
      </c>
      <c r="I8" s="70">
        <f>IFERROR(G8/E8*100,0)</f>
        <v>92.761381287035718</v>
      </c>
      <c r="J8" s="71">
        <f>J10+J11</f>
        <v>477.93651</v>
      </c>
      <c r="K8" s="71">
        <f t="shared" ref="K8:AG8" si="0">K10+K11</f>
        <v>260.55279000000002</v>
      </c>
      <c r="L8" s="71">
        <f t="shared" si="0"/>
        <v>1294.4562699999999</v>
      </c>
      <c r="M8" s="71">
        <f t="shared" si="0"/>
        <v>1246.4390100000001</v>
      </c>
      <c r="N8" s="71">
        <f t="shared" si="0"/>
        <v>1178.9468200000001</v>
      </c>
      <c r="O8" s="71">
        <f t="shared" si="0"/>
        <v>1048.5088500000002</v>
      </c>
      <c r="P8" s="71">
        <f t="shared" si="0"/>
        <v>1783.0559799999996</v>
      </c>
      <c r="Q8" s="71">
        <f t="shared" si="0"/>
        <v>1102.5854899999999</v>
      </c>
      <c r="R8" s="71">
        <f t="shared" si="0"/>
        <v>1243.6451099999999</v>
      </c>
      <c r="S8" s="71">
        <f t="shared" si="0"/>
        <v>1547.3290200000001</v>
      </c>
      <c r="T8" s="71">
        <f t="shared" si="0"/>
        <v>10411.928819999999</v>
      </c>
      <c r="U8" s="71">
        <f t="shared" si="0"/>
        <v>9998.1469499999985</v>
      </c>
      <c r="V8" s="71">
        <f t="shared" si="0"/>
        <v>8693.5166700000009</v>
      </c>
      <c r="W8" s="71">
        <f t="shared" si="0"/>
        <v>0</v>
      </c>
      <c r="X8" s="71">
        <f t="shared" si="0"/>
        <v>8398.762200000001</v>
      </c>
      <c r="Y8" s="71">
        <f t="shared" si="0"/>
        <v>0</v>
      </c>
      <c r="Z8" s="71">
        <f t="shared" si="0"/>
        <v>1014.6350200000001</v>
      </c>
      <c r="AA8" s="71">
        <f t="shared" si="0"/>
        <v>0</v>
      </c>
      <c r="AB8" s="71">
        <f t="shared" si="0"/>
        <v>1176.1024600000001</v>
      </c>
      <c r="AC8" s="71">
        <f t="shared" si="0"/>
        <v>0</v>
      </c>
      <c r="AD8" s="71">
        <f t="shared" si="0"/>
        <v>1151.0609099999999</v>
      </c>
      <c r="AE8" s="71">
        <f t="shared" si="0"/>
        <v>0</v>
      </c>
      <c r="AF8" s="71">
        <f t="shared" si="0"/>
        <v>803.85323000000005</v>
      </c>
      <c r="AG8" s="71">
        <f t="shared" si="0"/>
        <v>0</v>
      </c>
      <c r="AH8" s="72"/>
      <c r="AJ8" s="261">
        <f>E8-G8</f>
        <v>1186.4074000000001</v>
      </c>
    </row>
    <row r="9" spans="1:36" s="26" customFormat="1" ht="26.25" hidden="1" customHeight="1" x14ac:dyDescent="0.25">
      <c r="A9" s="531"/>
      <c r="B9" s="534"/>
      <c r="C9" s="124" t="s">
        <v>52</v>
      </c>
      <c r="D9" s="74">
        <f>J9+L9+N9+P9+R9+T9+V9+X9+Z9+AB9+AD9+AF9</f>
        <v>0</v>
      </c>
      <c r="E9" s="74">
        <f>J9</f>
        <v>0</v>
      </c>
      <c r="F9" s="74">
        <f>G9</f>
        <v>0</v>
      </c>
      <c r="G9" s="74">
        <f>K9+M9+O9+Q9+S9+U9+W9+Y9+AA9+AC9+AE9+AG9</f>
        <v>0</v>
      </c>
      <c r="H9" s="74">
        <f t="shared" ref="H9" si="1">IFERROR(G9/D9*100,0)</f>
        <v>0</v>
      </c>
      <c r="I9" s="74">
        <f t="shared" ref="I9" si="2">IFERROR(G9/E9*100,0)</f>
        <v>0</v>
      </c>
      <c r="J9" s="74">
        <v>0</v>
      </c>
      <c r="K9" s="74">
        <v>0</v>
      </c>
      <c r="L9" s="74">
        <v>0</v>
      </c>
      <c r="M9" s="74">
        <v>0</v>
      </c>
      <c r="N9" s="74">
        <v>0</v>
      </c>
      <c r="O9" s="74">
        <v>0</v>
      </c>
      <c r="P9" s="74">
        <v>0</v>
      </c>
      <c r="Q9" s="74">
        <v>0</v>
      </c>
      <c r="R9" s="74">
        <v>0</v>
      </c>
      <c r="S9" s="74">
        <v>0</v>
      </c>
      <c r="T9" s="74">
        <v>0</v>
      </c>
      <c r="U9" s="74">
        <v>0</v>
      </c>
      <c r="V9" s="74">
        <v>0</v>
      </c>
      <c r="W9" s="74">
        <v>0</v>
      </c>
      <c r="X9" s="74">
        <v>0</v>
      </c>
      <c r="Y9" s="74">
        <v>0</v>
      </c>
      <c r="Z9" s="74">
        <v>0</v>
      </c>
      <c r="AA9" s="74">
        <v>0</v>
      </c>
      <c r="AB9" s="74">
        <v>0</v>
      </c>
      <c r="AC9" s="74">
        <v>0</v>
      </c>
      <c r="AD9" s="74">
        <v>0</v>
      </c>
      <c r="AE9" s="74">
        <v>0</v>
      </c>
      <c r="AF9" s="74">
        <v>0</v>
      </c>
      <c r="AG9" s="74">
        <v>0</v>
      </c>
      <c r="AH9" s="75"/>
      <c r="AJ9" s="261">
        <f t="shared" ref="AJ9:AJ35" si="3">E9-G9</f>
        <v>0</v>
      </c>
    </row>
    <row r="10" spans="1:36" s="26" customFormat="1" ht="40.5" customHeight="1" x14ac:dyDescent="0.25">
      <c r="A10" s="531"/>
      <c r="B10" s="534"/>
      <c r="C10" s="124" t="s">
        <v>22</v>
      </c>
      <c r="D10" s="74">
        <f>J10+L10+N10+P10+R10+T10+V10+X10+Z10+AB10+AD10+AF10</f>
        <v>12797.800000000003</v>
      </c>
      <c r="E10" s="74">
        <f>E15+E40</f>
        <v>5761.2389700000003</v>
      </c>
      <c r="F10" s="74">
        <f>F15+F40</f>
        <v>5369.7070199999998</v>
      </c>
      <c r="G10" s="74">
        <f>K10+M10+O10+Q10+S10+U10+W10+Y10+AA10+AC10+AE10+AG10</f>
        <v>5369.7170800000004</v>
      </c>
      <c r="H10" s="74">
        <f>IFERROR(G10/D10*100,0)</f>
        <v>41.958126240447569</v>
      </c>
      <c r="I10" s="74">
        <f>IFERROR(G10/E10*100,0)</f>
        <v>93.20420673333048</v>
      </c>
      <c r="J10" s="74">
        <f>J15+J40</f>
        <v>447.93651</v>
      </c>
      <c r="K10" s="74">
        <f t="shared" ref="K10:AG11" si="4">K15+K40</f>
        <v>260.55279000000002</v>
      </c>
      <c r="L10" s="74">
        <f t="shared" si="4"/>
        <v>573.09899999999993</v>
      </c>
      <c r="M10" s="74">
        <f t="shared" si="4"/>
        <v>609.79</v>
      </c>
      <c r="N10" s="74">
        <f t="shared" si="4"/>
        <v>522.42281000000003</v>
      </c>
      <c r="O10" s="74">
        <f t="shared" si="4"/>
        <v>456.65318000000002</v>
      </c>
      <c r="P10" s="74">
        <f t="shared" si="4"/>
        <v>689.41098</v>
      </c>
      <c r="Q10" s="74">
        <f t="shared" si="4"/>
        <v>516.61899999999991</v>
      </c>
      <c r="R10" s="74">
        <f t="shared" si="4"/>
        <v>576.34999999999991</v>
      </c>
      <c r="S10" s="74">
        <f t="shared" si="4"/>
        <v>530.72</v>
      </c>
      <c r="T10" s="74">
        <f t="shared" si="4"/>
        <v>2952.0196700000001</v>
      </c>
      <c r="U10" s="74">
        <f t="shared" si="4"/>
        <v>2995.38211</v>
      </c>
      <c r="V10" s="74">
        <f t="shared" si="4"/>
        <v>2592.1643100000001</v>
      </c>
      <c r="W10" s="74">
        <f t="shared" si="4"/>
        <v>0</v>
      </c>
      <c r="X10" s="74">
        <f t="shared" si="4"/>
        <v>2381.645</v>
      </c>
      <c r="Y10" s="74">
        <f t="shared" si="4"/>
        <v>0</v>
      </c>
      <c r="Z10" s="74">
        <f t="shared" si="4"/>
        <v>473.10900000000004</v>
      </c>
      <c r="AA10" s="74">
        <f t="shared" si="4"/>
        <v>0</v>
      </c>
      <c r="AB10" s="74">
        <f t="shared" si="4"/>
        <v>527.46029999999996</v>
      </c>
      <c r="AC10" s="74">
        <f t="shared" si="4"/>
        <v>0</v>
      </c>
      <c r="AD10" s="74">
        <f t="shared" si="4"/>
        <v>513.42918999999995</v>
      </c>
      <c r="AE10" s="74">
        <f t="shared" si="4"/>
        <v>0</v>
      </c>
      <c r="AF10" s="74">
        <f t="shared" si="4"/>
        <v>548.75323000000003</v>
      </c>
      <c r="AG10" s="74">
        <f t="shared" si="4"/>
        <v>0</v>
      </c>
      <c r="AH10" s="75"/>
      <c r="AJ10" s="261">
        <f t="shared" si="3"/>
        <v>391.52188999999998</v>
      </c>
    </row>
    <row r="11" spans="1:36" s="26" customFormat="1" ht="40.5" customHeight="1" x14ac:dyDescent="0.25">
      <c r="A11" s="531"/>
      <c r="B11" s="534"/>
      <c r="C11" s="124" t="s">
        <v>21</v>
      </c>
      <c r="D11" s="74">
        <f>J11+L11+N11+P11+R11+T11+V11+X11+Z11+AB11+AD11+AF11</f>
        <v>24830.100000000002</v>
      </c>
      <c r="E11" s="74">
        <f>E16+E41</f>
        <v>10628.730539999999</v>
      </c>
      <c r="F11" s="74">
        <f>F16+F41</f>
        <v>10263.073540000001</v>
      </c>
      <c r="G11" s="74">
        <f t="shared" ref="G11" si="5">K11+M11+O11+Q11+S11+U11+W11+Y11+AA11+AC11+AE11+AG11</f>
        <v>9833.8450299999986</v>
      </c>
      <c r="H11" s="74">
        <f>IFERROR(G11/D11*100,0)</f>
        <v>39.604532523026478</v>
      </c>
      <c r="I11" s="74">
        <f>IFERROR(G11/E11*100,0)</f>
        <v>92.521350437772981</v>
      </c>
      <c r="J11" s="74">
        <f>J16+J41</f>
        <v>30</v>
      </c>
      <c r="K11" s="74">
        <f t="shared" si="4"/>
        <v>0</v>
      </c>
      <c r="L11" s="74">
        <f t="shared" si="4"/>
        <v>721.35726999999997</v>
      </c>
      <c r="M11" s="74">
        <f t="shared" si="4"/>
        <v>636.64900999999998</v>
      </c>
      <c r="N11" s="74">
        <f t="shared" si="4"/>
        <v>656.52400999999998</v>
      </c>
      <c r="O11" s="74">
        <f t="shared" si="4"/>
        <v>591.85567000000003</v>
      </c>
      <c r="P11" s="74">
        <f t="shared" si="4"/>
        <v>1093.6449999999998</v>
      </c>
      <c r="Q11" s="74">
        <f t="shared" si="4"/>
        <v>585.96649000000002</v>
      </c>
      <c r="R11" s="74">
        <f t="shared" si="4"/>
        <v>667.29511000000002</v>
      </c>
      <c r="S11" s="74">
        <f t="shared" si="4"/>
        <v>1016.60902</v>
      </c>
      <c r="T11" s="74">
        <f t="shared" si="4"/>
        <v>7459.9091499999995</v>
      </c>
      <c r="U11" s="74">
        <f t="shared" si="4"/>
        <v>7002.7648399999989</v>
      </c>
      <c r="V11" s="74">
        <f t="shared" si="4"/>
        <v>6101.3523599999999</v>
      </c>
      <c r="W11" s="74">
        <f t="shared" si="4"/>
        <v>0</v>
      </c>
      <c r="X11" s="74">
        <f t="shared" si="4"/>
        <v>6017.1172000000006</v>
      </c>
      <c r="Y11" s="74">
        <f t="shared" si="4"/>
        <v>0</v>
      </c>
      <c r="Z11" s="74">
        <f t="shared" si="4"/>
        <v>541.52602000000002</v>
      </c>
      <c r="AA11" s="74">
        <f t="shared" si="4"/>
        <v>0</v>
      </c>
      <c r="AB11" s="74">
        <f t="shared" si="4"/>
        <v>648.64215999999999</v>
      </c>
      <c r="AC11" s="74">
        <f t="shared" si="4"/>
        <v>0</v>
      </c>
      <c r="AD11" s="74">
        <f t="shared" si="4"/>
        <v>637.63171999999997</v>
      </c>
      <c r="AE11" s="74">
        <f t="shared" si="4"/>
        <v>0</v>
      </c>
      <c r="AF11" s="74">
        <f t="shared" si="4"/>
        <v>255.1</v>
      </c>
      <c r="AG11" s="74">
        <f t="shared" si="4"/>
        <v>0</v>
      </c>
      <c r="AH11" s="75"/>
      <c r="AJ11" s="261">
        <f t="shared" si="3"/>
        <v>794.88551000000007</v>
      </c>
    </row>
    <row r="12" spans="1:36" s="22" customFormat="1" ht="18.75" customHeight="1" x14ac:dyDescent="0.25">
      <c r="A12" s="66"/>
      <c r="B12" s="536" t="s">
        <v>205</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8"/>
      <c r="AH12" s="64"/>
    </row>
    <row r="13" spans="1:36" s="21" customFormat="1" ht="23.25" customHeight="1" x14ac:dyDescent="0.25">
      <c r="A13" s="539" t="s">
        <v>37</v>
      </c>
      <c r="B13" s="578" t="s">
        <v>206</v>
      </c>
      <c r="C13" s="125" t="s">
        <v>20</v>
      </c>
      <c r="D13" s="70">
        <f>D15+D16+D14</f>
        <v>33505.300000000003</v>
      </c>
      <c r="E13" s="58">
        <f>E15+E16+E14</f>
        <v>14297.954349999998</v>
      </c>
      <c r="F13" s="58">
        <f>F15+F16+F14</f>
        <v>13671.204530000001</v>
      </c>
      <c r="G13" s="58">
        <f>G15+G16+G14</f>
        <v>13241.979319999999</v>
      </c>
      <c r="H13" s="58">
        <f t="shared" ref="H13:H36" si="6">IFERROR(G13/D13*100,0)</f>
        <v>39.52204373636409</v>
      </c>
      <c r="I13" s="58">
        <f t="shared" ref="I13:I36" si="7">IFERROR(G13/E13*100,0)</f>
        <v>92.61450271730655</v>
      </c>
      <c r="J13" s="58">
        <f t="shared" ref="J13:AG13" si="8">J15+J16+J14</f>
        <v>44.7</v>
      </c>
      <c r="K13" s="58">
        <f t="shared" si="8"/>
        <v>0</v>
      </c>
      <c r="L13" s="58">
        <f t="shared" si="8"/>
        <v>985.96726999999998</v>
      </c>
      <c r="M13" s="58">
        <f t="shared" si="8"/>
        <v>856.94901000000004</v>
      </c>
      <c r="N13" s="58">
        <f t="shared" si="8"/>
        <v>923.73781999999994</v>
      </c>
      <c r="O13" s="58">
        <f t="shared" si="8"/>
        <v>831.28885000000002</v>
      </c>
      <c r="P13" s="58">
        <f t="shared" si="8"/>
        <v>1358.5449999999996</v>
      </c>
      <c r="Q13" s="58">
        <f t="shared" si="8"/>
        <v>848.07548999999995</v>
      </c>
      <c r="R13" s="58">
        <f t="shared" si="8"/>
        <v>910.19511</v>
      </c>
      <c r="S13" s="58">
        <f t="shared" si="8"/>
        <v>1268.47902</v>
      </c>
      <c r="T13" s="58">
        <f t="shared" si="8"/>
        <v>10074.809149999999</v>
      </c>
      <c r="U13" s="58">
        <f t="shared" si="8"/>
        <v>9437.1869499999993</v>
      </c>
      <c r="V13" s="58">
        <f t="shared" si="8"/>
        <v>8216.2523600000004</v>
      </c>
      <c r="W13" s="58">
        <f t="shared" si="8"/>
        <v>0</v>
      </c>
      <c r="X13" s="58">
        <f t="shared" si="8"/>
        <v>8082.217200000001</v>
      </c>
      <c r="Y13" s="58">
        <f t="shared" si="8"/>
        <v>0</v>
      </c>
      <c r="Z13" s="58">
        <f t="shared" si="8"/>
        <v>766.42601999999999</v>
      </c>
      <c r="AA13" s="58">
        <f t="shared" si="8"/>
        <v>0</v>
      </c>
      <c r="AB13" s="58">
        <f t="shared" si="8"/>
        <v>905.94216000000006</v>
      </c>
      <c r="AC13" s="58">
        <f t="shared" si="8"/>
        <v>0</v>
      </c>
      <c r="AD13" s="58">
        <f t="shared" si="8"/>
        <v>902.9079099999999</v>
      </c>
      <c r="AE13" s="58">
        <f t="shared" si="8"/>
        <v>0</v>
      </c>
      <c r="AF13" s="58">
        <f t="shared" si="8"/>
        <v>333.6</v>
      </c>
      <c r="AG13" s="58">
        <f t="shared" si="8"/>
        <v>0</v>
      </c>
      <c r="AH13" s="60"/>
      <c r="AI13" s="23"/>
      <c r="AJ13" s="261">
        <f t="shared" si="3"/>
        <v>1055.9750299999996</v>
      </c>
    </row>
    <row r="14" spans="1:36" s="21" customFormat="1" ht="17.25" hidden="1" customHeight="1" x14ac:dyDescent="0.25">
      <c r="A14" s="540"/>
      <c r="B14" s="599"/>
      <c r="C14" s="126" t="s">
        <v>52</v>
      </c>
      <c r="D14" s="74">
        <f>SUM(J14,L14,N14,P14,R14,T14,V14,X14,Z14,AB14,AD14,AF14)</f>
        <v>0</v>
      </c>
      <c r="E14" s="62">
        <f>J14</f>
        <v>0</v>
      </c>
      <c r="F14" s="62">
        <f>G14</f>
        <v>0</v>
      </c>
      <c r="G14" s="62">
        <f>SUM(K14,M14,O14,Q14,S14,U14,W14,Y14,AA14,AC14,AE14,AG14)</f>
        <v>0</v>
      </c>
      <c r="H14" s="62">
        <f t="shared" si="6"/>
        <v>0</v>
      </c>
      <c r="I14" s="62">
        <f t="shared" si="7"/>
        <v>0</v>
      </c>
      <c r="J14" s="62">
        <f>J18</f>
        <v>0</v>
      </c>
      <c r="K14" s="62">
        <f t="shared" ref="K14:AG14" si="9">K18</f>
        <v>0</v>
      </c>
      <c r="L14" s="62">
        <f t="shared" si="9"/>
        <v>0</v>
      </c>
      <c r="M14" s="62">
        <f t="shared" si="9"/>
        <v>0</v>
      </c>
      <c r="N14" s="62">
        <f t="shared" si="9"/>
        <v>0</v>
      </c>
      <c r="O14" s="62">
        <f t="shared" si="9"/>
        <v>0</v>
      </c>
      <c r="P14" s="62">
        <f t="shared" si="9"/>
        <v>0</v>
      </c>
      <c r="Q14" s="62">
        <f t="shared" si="9"/>
        <v>0</v>
      </c>
      <c r="R14" s="62">
        <f t="shared" si="9"/>
        <v>0</v>
      </c>
      <c r="S14" s="62">
        <f t="shared" si="9"/>
        <v>0</v>
      </c>
      <c r="T14" s="62">
        <f t="shared" si="9"/>
        <v>0</v>
      </c>
      <c r="U14" s="62">
        <f t="shared" si="9"/>
        <v>0</v>
      </c>
      <c r="V14" s="62">
        <f t="shared" si="9"/>
        <v>0</v>
      </c>
      <c r="W14" s="62">
        <f t="shared" si="9"/>
        <v>0</v>
      </c>
      <c r="X14" s="62">
        <f t="shared" si="9"/>
        <v>0</v>
      </c>
      <c r="Y14" s="62">
        <f t="shared" si="9"/>
        <v>0</v>
      </c>
      <c r="Z14" s="62">
        <f t="shared" si="9"/>
        <v>0</v>
      </c>
      <c r="AA14" s="62">
        <f t="shared" si="9"/>
        <v>0</v>
      </c>
      <c r="AB14" s="62">
        <f t="shared" si="9"/>
        <v>0</v>
      </c>
      <c r="AC14" s="62">
        <f t="shared" si="9"/>
        <v>0</v>
      </c>
      <c r="AD14" s="62">
        <f t="shared" si="9"/>
        <v>0</v>
      </c>
      <c r="AE14" s="62">
        <f t="shared" si="9"/>
        <v>0</v>
      </c>
      <c r="AF14" s="62">
        <f t="shared" si="9"/>
        <v>0</v>
      </c>
      <c r="AG14" s="62">
        <f t="shared" si="9"/>
        <v>0</v>
      </c>
      <c r="AH14" s="60"/>
      <c r="AI14" s="23"/>
      <c r="AJ14" s="261">
        <f t="shared" si="3"/>
        <v>0</v>
      </c>
    </row>
    <row r="15" spans="1:36" s="21" customFormat="1" ht="37.5" customHeight="1" x14ac:dyDescent="0.25">
      <c r="A15" s="540"/>
      <c r="B15" s="599"/>
      <c r="C15" s="126" t="s">
        <v>22</v>
      </c>
      <c r="D15" s="74">
        <f>SUM(J15,L15,N15,P15,R15,T15,V15,X15,Z15,AB15,AD15,AF15)</f>
        <v>8697.1999999999989</v>
      </c>
      <c r="E15" s="62">
        <f>E19+E23+E27+E35</f>
        <v>3691.22381</v>
      </c>
      <c r="F15" s="62">
        <f>F19+F23+F27+F35</f>
        <v>3430.1309900000001</v>
      </c>
      <c r="G15" s="62">
        <f>SUM(K15,M15,O15,Q15,S15,U15,W15,Y15,AA15,AC15,AE15,AG15)</f>
        <v>3430.13429</v>
      </c>
      <c r="H15" s="62">
        <f t="shared" si="6"/>
        <v>39.439524099710255</v>
      </c>
      <c r="I15" s="62">
        <f t="shared" si="7"/>
        <v>92.926749136893989</v>
      </c>
      <c r="J15" s="63">
        <f>J19+J23+J27+J35</f>
        <v>14.7</v>
      </c>
      <c r="K15" s="63">
        <f t="shared" ref="K15:AG15" si="10">K19+K23+K27+K35</f>
        <v>0</v>
      </c>
      <c r="L15" s="63">
        <f t="shared" si="10"/>
        <v>264.61</v>
      </c>
      <c r="M15" s="63">
        <f t="shared" si="10"/>
        <v>220.3</v>
      </c>
      <c r="N15" s="63">
        <f t="shared" si="10"/>
        <v>267.21380999999997</v>
      </c>
      <c r="O15" s="63">
        <f t="shared" si="10"/>
        <v>239.43317999999999</v>
      </c>
      <c r="P15" s="63">
        <f t="shared" si="10"/>
        <v>264.89999999999998</v>
      </c>
      <c r="Q15" s="63">
        <f t="shared" si="10"/>
        <v>262.10899999999998</v>
      </c>
      <c r="R15" s="63">
        <f t="shared" si="10"/>
        <v>264.89999999999998</v>
      </c>
      <c r="S15" s="63">
        <f t="shared" si="10"/>
        <v>251.87</v>
      </c>
      <c r="T15" s="63">
        <f t="shared" si="10"/>
        <v>2614.9</v>
      </c>
      <c r="U15" s="63">
        <f t="shared" si="10"/>
        <v>2456.42211</v>
      </c>
      <c r="V15" s="63">
        <f t="shared" si="10"/>
        <v>2114.9</v>
      </c>
      <c r="W15" s="63">
        <f t="shared" si="10"/>
        <v>0</v>
      </c>
      <c r="X15" s="63">
        <f t="shared" si="10"/>
        <v>2065.1</v>
      </c>
      <c r="Y15" s="63">
        <f t="shared" si="10"/>
        <v>0</v>
      </c>
      <c r="Z15" s="63">
        <f t="shared" si="10"/>
        <v>224.9</v>
      </c>
      <c r="AA15" s="63">
        <f t="shared" si="10"/>
        <v>0</v>
      </c>
      <c r="AB15" s="63">
        <f t="shared" si="10"/>
        <v>257.3</v>
      </c>
      <c r="AC15" s="63">
        <f t="shared" si="10"/>
        <v>0</v>
      </c>
      <c r="AD15" s="63">
        <f t="shared" si="10"/>
        <v>265.27618999999999</v>
      </c>
      <c r="AE15" s="63">
        <f t="shared" si="10"/>
        <v>0</v>
      </c>
      <c r="AF15" s="63">
        <f t="shared" si="10"/>
        <v>78.5</v>
      </c>
      <c r="AG15" s="63">
        <f t="shared" si="10"/>
        <v>0</v>
      </c>
      <c r="AH15" s="60"/>
      <c r="AI15" s="23"/>
      <c r="AJ15" s="261">
        <f t="shared" si="3"/>
        <v>261.08951999999999</v>
      </c>
    </row>
    <row r="16" spans="1:36" s="22" customFormat="1" ht="29.25" customHeight="1" x14ac:dyDescent="0.25">
      <c r="A16" s="541"/>
      <c r="B16" s="579"/>
      <c r="C16" s="126" t="s">
        <v>21</v>
      </c>
      <c r="D16" s="74">
        <f>SUM(J16,L16,N16,P16,R16,T16,V16,X16,Z16,AB16,AD16,AF16)</f>
        <v>24808.100000000002</v>
      </c>
      <c r="E16" s="62">
        <f>E20+E24+E28+E32</f>
        <v>10606.730539999999</v>
      </c>
      <c r="F16" s="62">
        <f>F20+F24+F28+F32</f>
        <v>10241.073540000001</v>
      </c>
      <c r="G16" s="62">
        <f>SUM(K16,M16,O16,Q16,S16,U16,W16,Y16,AA16,AC16,AE16,AG16)</f>
        <v>9811.8450299999986</v>
      </c>
      <c r="H16" s="62">
        <f t="shared" si="6"/>
        <v>39.5509733917551</v>
      </c>
      <c r="I16" s="62">
        <f t="shared" si="7"/>
        <v>92.505838561634661</v>
      </c>
      <c r="J16" s="67">
        <f>J20+J24+J28+J32</f>
        <v>30</v>
      </c>
      <c r="K16" s="67">
        <f t="shared" ref="K16:AG16" si="11">K20+K24+K28+K32</f>
        <v>0</v>
      </c>
      <c r="L16" s="67">
        <f t="shared" si="11"/>
        <v>721.35726999999997</v>
      </c>
      <c r="M16" s="67">
        <f t="shared" si="11"/>
        <v>636.64900999999998</v>
      </c>
      <c r="N16" s="67">
        <f t="shared" si="11"/>
        <v>656.52400999999998</v>
      </c>
      <c r="O16" s="67">
        <f t="shared" si="11"/>
        <v>591.85567000000003</v>
      </c>
      <c r="P16" s="67">
        <f t="shared" si="11"/>
        <v>1093.6449999999998</v>
      </c>
      <c r="Q16" s="67">
        <f t="shared" si="11"/>
        <v>585.96649000000002</v>
      </c>
      <c r="R16" s="67">
        <f t="shared" si="11"/>
        <v>645.29511000000002</v>
      </c>
      <c r="S16" s="67">
        <f t="shared" si="11"/>
        <v>1016.60902</v>
      </c>
      <c r="T16" s="67">
        <f t="shared" si="11"/>
        <v>7459.9091499999995</v>
      </c>
      <c r="U16" s="67">
        <f t="shared" si="11"/>
        <v>6980.7648399999989</v>
      </c>
      <c r="V16" s="67">
        <f t="shared" si="11"/>
        <v>6101.3523599999999</v>
      </c>
      <c r="W16" s="67">
        <f t="shared" si="11"/>
        <v>0</v>
      </c>
      <c r="X16" s="67">
        <f t="shared" si="11"/>
        <v>6017.1172000000006</v>
      </c>
      <c r="Y16" s="67">
        <f t="shared" si="11"/>
        <v>0</v>
      </c>
      <c r="Z16" s="67">
        <f t="shared" si="11"/>
        <v>541.52602000000002</v>
      </c>
      <c r="AA16" s="67">
        <f t="shared" si="11"/>
        <v>0</v>
      </c>
      <c r="AB16" s="67">
        <f t="shared" si="11"/>
        <v>648.64215999999999</v>
      </c>
      <c r="AC16" s="67">
        <f t="shared" si="11"/>
        <v>0</v>
      </c>
      <c r="AD16" s="67">
        <f t="shared" si="11"/>
        <v>637.63171999999997</v>
      </c>
      <c r="AE16" s="67">
        <f t="shared" si="11"/>
        <v>0</v>
      </c>
      <c r="AF16" s="67">
        <f t="shared" si="11"/>
        <v>255.1</v>
      </c>
      <c r="AG16" s="67">
        <f t="shared" si="11"/>
        <v>0</v>
      </c>
      <c r="AH16" s="64"/>
      <c r="AI16" s="20"/>
      <c r="AJ16" s="261">
        <f t="shared" si="3"/>
        <v>794.88551000000007</v>
      </c>
    </row>
    <row r="17" spans="1:36" s="21" customFormat="1" ht="21" customHeight="1" x14ac:dyDescent="0.25">
      <c r="A17" s="539"/>
      <c r="B17" s="575" t="s">
        <v>207</v>
      </c>
      <c r="C17" s="125" t="s">
        <v>20</v>
      </c>
      <c r="D17" s="70">
        <f>D19+D20+D18</f>
        <v>2257.1</v>
      </c>
      <c r="E17" s="58">
        <f>E19+E20+E18</f>
        <v>1149.4769999999999</v>
      </c>
      <c r="F17" s="58">
        <f>F19+F20+F18</f>
        <v>662.98506999999995</v>
      </c>
      <c r="G17" s="58">
        <f t="shared" ref="G17" si="12">G19+G20+G18</f>
        <v>662.98900000000003</v>
      </c>
      <c r="H17" s="58">
        <f t="shared" si="6"/>
        <v>29.373488104204515</v>
      </c>
      <c r="I17" s="58">
        <f t="shared" si="7"/>
        <v>57.677448091610373</v>
      </c>
      <c r="J17" s="58">
        <f t="shared" ref="J17:AG17" si="13">J19+J20+J18</f>
        <v>44.7</v>
      </c>
      <c r="K17" s="58">
        <f t="shared" si="13"/>
        <v>0</v>
      </c>
      <c r="L17" s="58">
        <f t="shared" si="13"/>
        <v>210.24099999999999</v>
      </c>
      <c r="M17" s="58">
        <f t="shared" si="13"/>
        <v>81.599999999999994</v>
      </c>
      <c r="N17" s="58">
        <f t="shared" si="13"/>
        <v>228.69</v>
      </c>
      <c r="O17" s="58">
        <f t="shared" si="13"/>
        <v>137.03</v>
      </c>
      <c r="P17" s="58">
        <f t="shared" si="13"/>
        <v>223.82300000000001</v>
      </c>
      <c r="Q17" s="58">
        <f t="shared" si="13"/>
        <v>155.50900000000001</v>
      </c>
      <c r="R17" s="58">
        <f t="shared" si="13"/>
        <v>222.6</v>
      </c>
      <c r="S17" s="58">
        <f t="shared" si="13"/>
        <v>137.56</v>
      </c>
      <c r="T17" s="58">
        <f t="shared" si="13"/>
        <v>219.423</v>
      </c>
      <c r="U17" s="58">
        <f t="shared" si="13"/>
        <v>151.29</v>
      </c>
      <c r="V17" s="58">
        <f t="shared" si="13"/>
        <v>227.8</v>
      </c>
      <c r="W17" s="58">
        <f t="shared" si="13"/>
        <v>0</v>
      </c>
      <c r="X17" s="58">
        <f t="shared" si="13"/>
        <v>55.300000000000004</v>
      </c>
      <c r="Y17" s="58">
        <f t="shared" si="13"/>
        <v>0</v>
      </c>
      <c r="Z17" s="58">
        <f t="shared" si="13"/>
        <v>74.199999999999989</v>
      </c>
      <c r="AA17" s="58">
        <f t="shared" si="13"/>
        <v>0</v>
      </c>
      <c r="AB17" s="58">
        <f t="shared" si="13"/>
        <v>215.52300000000002</v>
      </c>
      <c r="AC17" s="58">
        <f t="shared" si="13"/>
        <v>0</v>
      </c>
      <c r="AD17" s="58">
        <f t="shared" si="13"/>
        <v>201.2</v>
      </c>
      <c r="AE17" s="58">
        <f t="shared" si="13"/>
        <v>0</v>
      </c>
      <c r="AF17" s="58">
        <f t="shared" si="13"/>
        <v>333.6</v>
      </c>
      <c r="AG17" s="58">
        <f t="shared" si="13"/>
        <v>0</v>
      </c>
      <c r="AH17" s="60"/>
      <c r="AI17" s="23"/>
      <c r="AJ17" s="260">
        <f t="shared" si="3"/>
        <v>486.48799999999983</v>
      </c>
    </row>
    <row r="18" spans="1:36" s="21" customFormat="1" ht="23.25" hidden="1" customHeight="1" x14ac:dyDescent="0.25">
      <c r="A18" s="540"/>
      <c r="B18" s="576"/>
      <c r="C18" s="126" t="s">
        <v>52</v>
      </c>
      <c r="D18" s="74">
        <f>SUM(J18,L18,N18,P18,R18,T18,V18,X18,Z18,AB18,AD18,AF18)</f>
        <v>0</v>
      </c>
      <c r="E18" s="62">
        <f>J18</f>
        <v>0</v>
      </c>
      <c r="F18" s="62">
        <f>G18</f>
        <v>0</v>
      </c>
      <c r="G18" s="62">
        <f>SUM(K18,M18,O18,Q18,S18,U18,W18,Y18,AA18,AC18,AE18,AG18)</f>
        <v>0</v>
      </c>
      <c r="H18" s="62">
        <f t="shared" si="6"/>
        <v>0</v>
      </c>
      <c r="I18" s="62">
        <f t="shared" si="7"/>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0"/>
      <c r="AI18" s="23"/>
      <c r="AJ18" s="260">
        <f t="shared" si="3"/>
        <v>0</v>
      </c>
    </row>
    <row r="19" spans="1:36" s="21" customFormat="1" ht="390.75" customHeight="1" x14ac:dyDescent="0.25">
      <c r="A19" s="540"/>
      <c r="B19" s="576"/>
      <c r="C19" s="126" t="s">
        <v>22</v>
      </c>
      <c r="D19" s="74">
        <f>SUM(J19,L19,N19,P19,R19,T19,V19,X19,Z19,AB19,AD19,AF19)</f>
        <v>647.20000000000005</v>
      </c>
      <c r="E19" s="62">
        <f>J19+L19+N19+P19+R19+T19</f>
        <v>341.70000000000005</v>
      </c>
      <c r="F19" s="62">
        <v>220.86507</v>
      </c>
      <c r="G19" s="62">
        <f>SUM(K19,M19,O19,Q19,S19,U19,W19,Y19,AA19,AC19,AE19,AG19)</f>
        <v>220.869</v>
      </c>
      <c r="H19" s="62">
        <f t="shared" si="6"/>
        <v>34.126854140914709</v>
      </c>
      <c r="I19" s="62">
        <f t="shared" si="7"/>
        <v>64.638279192273913</v>
      </c>
      <c r="J19" s="63">
        <v>14.7</v>
      </c>
      <c r="K19" s="63">
        <v>0</v>
      </c>
      <c r="L19" s="63">
        <v>64.61</v>
      </c>
      <c r="M19" s="63">
        <v>20.3</v>
      </c>
      <c r="N19" s="63">
        <v>67.69</v>
      </c>
      <c r="O19" s="63">
        <v>39.909999999999997</v>
      </c>
      <c r="P19" s="63">
        <v>64.900000000000006</v>
      </c>
      <c r="Q19" s="63">
        <v>62.109000000000002</v>
      </c>
      <c r="R19" s="63">
        <v>64.900000000000006</v>
      </c>
      <c r="S19" s="63">
        <v>51.87</v>
      </c>
      <c r="T19" s="63">
        <v>64.900000000000006</v>
      </c>
      <c r="U19" s="63">
        <v>46.68</v>
      </c>
      <c r="V19" s="63">
        <v>64.900000000000006</v>
      </c>
      <c r="W19" s="63">
        <v>0</v>
      </c>
      <c r="X19" s="63">
        <v>15.1</v>
      </c>
      <c r="Y19" s="63">
        <v>0</v>
      </c>
      <c r="Z19" s="63">
        <v>24.9</v>
      </c>
      <c r="AA19" s="63">
        <v>0</v>
      </c>
      <c r="AB19" s="63">
        <v>57.3</v>
      </c>
      <c r="AC19" s="63">
        <v>0</v>
      </c>
      <c r="AD19" s="63">
        <v>64.8</v>
      </c>
      <c r="AE19" s="63">
        <v>0</v>
      </c>
      <c r="AF19" s="63">
        <v>78.5</v>
      </c>
      <c r="AG19" s="63">
        <v>0</v>
      </c>
      <c r="AH19" s="262" t="s">
        <v>364</v>
      </c>
      <c r="AI19" s="23"/>
      <c r="AJ19" s="260">
        <f t="shared" si="3"/>
        <v>120.83100000000005</v>
      </c>
    </row>
    <row r="20" spans="1:36" s="22" customFormat="1" ht="33" customHeight="1" x14ac:dyDescent="0.25">
      <c r="A20" s="541"/>
      <c r="B20" s="577"/>
      <c r="C20" s="126" t="s">
        <v>21</v>
      </c>
      <c r="D20" s="74">
        <f>SUM(J20,L20,N20,P20,R20,T20,V20,X20,Z20,AB20,AD20,AF20)</f>
        <v>1609.8999999999999</v>
      </c>
      <c r="E20" s="62">
        <f>J20+L20+N20+P20+R20+T20</f>
        <v>807.77699999999993</v>
      </c>
      <c r="F20" s="62">
        <f>G20</f>
        <v>442.12</v>
      </c>
      <c r="G20" s="62">
        <f>SUM(K20,M20,O20,Q20,S20,U20,W20,Y20,AA20,AC20,AE20,AG20)</f>
        <v>442.12</v>
      </c>
      <c r="H20" s="62">
        <f t="shared" si="6"/>
        <v>27.462575315236975</v>
      </c>
      <c r="I20" s="62">
        <f t="shared" si="7"/>
        <v>54.732927528265854</v>
      </c>
      <c r="J20" s="67">
        <v>30</v>
      </c>
      <c r="K20" s="67">
        <v>0</v>
      </c>
      <c r="L20" s="67">
        <v>145.631</v>
      </c>
      <c r="M20" s="67">
        <v>61.3</v>
      </c>
      <c r="N20" s="67">
        <v>161</v>
      </c>
      <c r="O20" s="67">
        <v>97.12</v>
      </c>
      <c r="P20" s="67">
        <v>158.923</v>
      </c>
      <c r="Q20" s="67">
        <v>93.4</v>
      </c>
      <c r="R20" s="67">
        <v>157.69999999999999</v>
      </c>
      <c r="S20" s="67">
        <v>85.69</v>
      </c>
      <c r="T20" s="67">
        <v>154.523</v>
      </c>
      <c r="U20" s="67">
        <v>104.61</v>
      </c>
      <c r="V20" s="67">
        <v>162.9</v>
      </c>
      <c r="W20" s="67">
        <v>0</v>
      </c>
      <c r="X20" s="67">
        <v>40.200000000000003</v>
      </c>
      <c r="Y20" s="67">
        <v>0</v>
      </c>
      <c r="Z20" s="67">
        <v>49.3</v>
      </c>
      <c r="AA20" s="67">
        <v>0</v>
      </c>
      <c r="AB20" s="67">
        <v>158.22300000000001</v>
      </c>
      <c r="AC20" s="67">
        <v>0</v>
      </c>
      <c r="AD20" s="67">
        <v>136.4</v>
      </c>
      <c r="AE20" s="67">
        <v>0</v>
      </c>
      <c r="AF20" s="67">
        <v>255.1</v>
      </c>
      <c r="AG20" s="67">
        <v>0</v>
      </c>
      <c r="AH20" s="64"/>
      <c r="AI20" s="20"/>
      <c r="AJ20" s="260">
        <f t="shared" si="3"/>
        <v>365.65699999999993</v>
      </c>
    </row>
    <row r="21" spans="1:36" s="21" customFormat="1" ht="18" customHeight="1" x14ac:dyDescent="0.25">
      <c r="A21" s="539"/>
      <c r="B21" s="575" t="s">
        <v>208</v>
      </c>
      <c r="C21" s="125" t="s">
        <v>20</v>
      </c>
      <c r="D21" s="70">
        <f>D23+D24+D22</f>
        <v>23333</v>
      </c>
      <c r="E21" s="58">
        <f>E23+E24+E22</f>
        <v>9140.8654099999985</v>
      </c>
      <c r="F21" s="58">
        <f t="shared" ref="F21:G21" si="14">F23+F24+F22</f>
        <v>9047.7075199999999</v>
      </c>
      <c r="G21" s="58">
        <f t="shared" si="14"/>
        <v>8781.4498999999996</v>
      </c>
      <c r="H21" s="58">
        <f t="shared" si="6"/>
        <v>37.635322933184753</v>
      </c>
      <c r="I21" s="58">
        <f t="shared" si="7"/>
        <v>96.068036297670432</v>
      </c>
      <c r="J21" s="58">
        <f t="shared" ref="J21:AG21" si="15">J23+J24+J22</f>
        <v>0</v>
      </c>
      <c r="K21" s="58">
        <f t="shared" si="15"/>
        <v>0</v>
      </c>
      <c r="L21" s="58">
        <f t="shared" si="15"/>
        <v>77.213139999999996</v>
      </c>
      <c r="M21" s="58">
        <f t="shared" si="15"/>
        <v>77.213139999999996</v>
      </c>
      <c r="N21" s="58">
        <f t="shared" si="15"/>
        <v>0</v>
      </c>
      <c r="O21" s="58">
        <f t="shared" si="15"/>
        <v>0</v>
      </c>
      <c r="P21" s="58">
        <f t="shared" si="15"/>
        <v>438.03719999999998</v>
      </c>
      <c r="Q21" s="58">
        <f t="shared" si="15"/>
        <v>0</v>
      </c>
      <c r="R21" s="58">
        <f t="shared" si="15"/>
        <v>0</v>
      </c>
      <c r="S21" s="58">
        <f t="shared" si="15"/>
        <v>438.04</v>
      </c>
      <c r="T21" s="58">
        <f t="shared" si="15"/>
        <v>8625.6150699999998</v>
      </c>
      <c r="U21" s="58">
        <f t="shared" si="15"/>
        <v>8266.1967599999989</v>
      </c>
      <c r="V21" s="58">
        <f t="shared" si="15"/>
        <v>7076.5461100000002</v>
      </c>
      <c r="W21" s="58">
        <f t="shared" si="15"/>
        <v>0</v>
      </c>
      <c r="X21" s="58">
        <f t="shared" si="15"/>
        <v>7115.5884800000003</v>
      </c>
      <c r="Y21" s="58">
        <f t="shared" si="15"/>
        <v>0</v>
      </c>
      <c r="Z21" s="58">
        <f t="shared" si="15"/>
        <v>0</v>
      </c>
      <c r="AA21" s="58">
        <f t="shared" si="15"/>
        <v>0</v>
      </c>
      <c r="AB21" s="58">
        <f t="shared" si="15"/>
        <v>0</v>
      </c>
      <c r="AC21" s="58">
        <f t="shared" si="15"/>
        <v>0</v>
      </c>
      <c r="AD21" s="58">
        <f t="shared" si="15"/>
        <v>0</v>
      </c>
      <c r="AE21" s="58">
        <f t="shared" si="15"/>
        <v>0</v>
      </c>
      <c r="AF21" s="58">
        <f t="shared" si="15"/>
        <v>0</v>
      </c>
      <c r="AG21" s="58">
        <f t="shared" si="15"/>
        <v>0</v>
      </c>
      <c r="AH21" s="60"/>
      <c r="AI21" s="23"/>
      <c r="AJ21" s="260">
        <f t="shared" si="3"/>
        <v>359.4155099999989</v>
      </c>
    </row>
    <row r="22" spans="1:36" s="21" customFormat="1" ht="51.75" hidden="1" customHeight="1" x14ac:dyDescent="0.25">
      <c r="A22" s="540"/>
      <c r="B22" s="576"/>
      <c r="C22" s="126" t="s">
        <v>52</v>
      </c>
      <c r="D22" s="74">
        <f>SUM(J22,L22,N22,P22,R22,T22,V22,X22,Z22,AB22,AD22,AF22)</f>
        <v>0</v>
      </c>
      <c r="E22" s="62">
        <f>J22</f>
        <v>0</v>
      </c>
      <c r="F22" s="62">
        <f>G22</f>
        <v>0</v>
      </c>
      <c r="G22" s="62">
        <f>SUM(K22,M22,O22,Q22,S22,U22,W22,Y22,AA22,AC22,AE22,AG22)</f>
        <v>0</v>
      </c>
      <c r="H22" s="62">
        <f t="shared" si="6"/>
        <v>0</v>
      </c>
      <c r="I22" s="62">
        <f t="shared" si="7"/>
        <v>0</v>
      </c>
      <c r="J22" s="62">
        <v>0</v>
      </c>
      <c r="K22" s="62">
        <v>0</v>
      </c>
      <c r="L22" s="62">
        <v>0</v>
      </c>
      <c r="M22" s="62">
        <v>0</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v>
      </c>
      <c r="AF22" s="62">
        <v>0</v>
      </c>
      <c r="AG22" s="62">
        <v>0</v>
      </c>
      <c r="AH22" s="60"/>
      <c r="AI22" s="23"/>
      <c r="AJ22" s="260">
        <f t="shared" si="3"/>
        <v>0</v>
      </c>
    </row>
    <row r="23" spans="1:36" s="21" customFormat="1" ht="168.75" customHeight="1" x14ac:dyDescent="0.25">
      <c r="A23" s="540"/>
      <c r="B23" s="576"/>
      <c r="C23" s="126" t="s">
        <v>22</v>
      </c>
      <c r="D23" s="74">
        <f>SUM(J23,L23,N23,P23,R23,T23,V23,X23,Z23,AB23,AD23,AF23)</f>
        <v>6550</v>
      </c>
      <c r="E23" s="62">
        <f>J23+L23+N23+P23+R23+T23</f>
        <v>2450</v>
      </c>
      <c r="F23" s="62">
        <v>2356.84211</v>
      </c>
      <c r="G23" s="62">
        <f>SUM(K23,M23,O23,Q23,S23,U23,W23,Y23,AA23,AC23,AE23,AG23)</f>
        <v>2356.84211</v>
      </c>
      <c r="H23" s="62">
        <f t="shared" si="6"/>
        <v>35.982322290076333</v>
      </c>
      <c r="I23" s="62">
        <f t="shared" si="7"/>
        <v>96.197637142857133</v>
      </c>
      <c r="J23" s="63">
        <v>0</v>
      </c>
      <c r="K23" s="63">
        <v>0</v>
      </c>
      <c r="L23" s="63">
        <v>0</v>
      </c>
      <c r="M23" s="63">
        <v>0</v>
      </c>
      <c r="N23" s="63">
        <v>0</v>
      </c>
      <c r="O23" s="63">
        <v>0</v>
      </c>
      <c r="P23" s="63">
        <v>0</v>
      </c>
      <c r="Q23" s="63">
        <v>0</v>
      </c>
      <c r="R23" s="63">
        <v>0</v>
      </c>
      <c r="S23" s="63">
        <v>0</v>
      </c>
      <c r="T23" s="63">
        <v>2450</v>
      </c>
      <c r="U23" s="63">
        <v>2356.84211</v>
      </c>
      <c r="V23" s="63">
        <v>2050</v>
      </c>
      <c r="W23" s="63">
        <v>0</v>
      </c>
      <c r="X23" s="63">
        <v>2050</v>
      </c>
      <c r="Y23" s="63">
        <v>0</v>
      </c>
      <c r="Z23" s="63">
        <v>0</v>
      </c>
      <c r="AA23" s="63">
        <v>0</v>
      </c>
      <c r="AB23" s="63">
        <v>0</v>
      </c>
      <c r="AC23" s="63">
        <v>0</v>
      </c>
      <c r="AD23" s="63">
        <v>0</v>
      </c>
      <c r="AE23" s="63">
        <v>0</v>
      </c>
      <c r="AF23" s="63">
        <v>0</v>
      </c>
      <c r="AG23" s="63">
        <v>0</v>
      </c>
      <c r="AH23" s="323" t="s">
        <v>365</v>
      </c>
      <c r="AI23" s="23"/>
      <c r="AJ23" s="260">
        <f t="shared" si="3"/>
        <v>93.157889999999952</v>
      </c>
    </row>
    <row r="24" spans="1:36" s="22" customFormat="1" ht="28.5" customHeight="1" x14ac:dyDescent="0.25">
      <c r="A24" s="541"/>
      <c r="B24" s="577"/>
      <c r="C24" s="126" t="s">
        <v>21</v>
      </c>
      <c r="D24" s="74">
        <f>SUM(J24,L24,N24,P24,R24,T24,V24,X24,Z24,AB24,AD24,AF24)</f>
        <v>16783</v>
      </c>
      <c r="E24" s="62">
        <f>J24+L24+N24+P24+R24+T24</f>
        <v>6690.8654099999994</v>
      </c>
      <c r="F24" s="62">
        <f>6690.86541</f>
        <v>6690.8654100000003</v>
      </c>
      <c r="G24" s="62">
        <f>SUM(K24,M24,O24,Q24,S24,U24,W24,Y24,AA24,AC24,AE24,AG24)</f>
        <v>6424.6077899999991</v>
      </c>
      <c r="H24" s="62">
        <f t="shared" si="6"/>
        <v>38.28044920455222</v>
      </c>
      <c r="I24" s="62">
        <f t="shared" si="7"/>
        <v>96.02058024359512</v>
      </c>
      <c r="J24" s="67">
        <v>0</v>
      </c>
      <c r="K24" s="67">
        <v>0</v>
      </c>
      <c r="L24" s="67">
        <v>77.213139999999996</v>
      </c>
      <c r="M24" s="67">
        <v>77.213139999999996</v>
      </c>
      <c r="N24" s="67">
        <v>0</v>
      </c>
      <c r="O24" s="67">
        <v>0</v>
      </c>
      <c r="P24" s="67">
        <v>438.03719999999998</v>
      </c>
      <c r="Q24" s="67">
        <v>0</v>
      </c>
      <c r="R24" s="67">
        <v>0</v>
      </c>
      <c r="S24" s="67">
        <v>438.04</v>
      </c>
      <c r="T24" s="67">
        <v>6175.6150699999998</v>
      </c>
      <c r="U24" s="67">
        <f>46.81799+5862.53666</f>
        <v>5909.3546499999993</v>
      </c>
      <c r="V24" s="67">
        <v>5026.5461100000002</v>
      </c>
      <c r="W24" s="67">
        <v>0</v>
      </c>
      <c r="X24" s="67">
        <v>5065.5884800000003</v>
      </c>
      <c r="Y24" s="67">
        <v>0</v>
      </c>
      <c r="Z24" s="67">
        <v>0</v>
      </c>
      <c r="AA24" s="67">
        <v>0</v>
      </c>
      <c r="AB24" s="67">
        <v>0</v>
      </c>
      <c r="AC24" s="67">
        <v>0</v>
      </c>
      <c r="AD24" s="67">
        <v>0</v>
      </c>
      <c r="AE24" s="67">
        <v>0</v>
      </c>
      <c r="AF24" s="67">
        <v>0</v>
      </c>
      <c r="AG24" s="67">
        <v>0</v>
      </c>
      <c r="AH24" s="64"/>
      <c r="AI24" s="20"/>
      <c r="AJ24" s="260">
        <f t="shared" si="3"/>
        <v>266.25762000000032</v>
      </c>
    </row>
    <row r="25" spans="1:36" s="21" customFormat="1" ht="24.75" customHeight="1" x14ac:dyDescent="0.25">
      <c r="A25" s="539"/>
      <c r="B25" s="575" t="s">
        <v>209</v>
      </c>
      <c r="C25" s="125" t="s">
        <v>20</v>
      </c>
      <c r="D25" s="70">
        <f>D27+D28+D26</f>
        <v>4869.7999999999993</v>
      </c>
      <c r="E25" s="58">
        <f t="shared" ref="E25:G25" si="16">E27+E28+E26</f>
        <v>2785.4469099999997</v>
      </c>
      <c r="F25" s="58">
        <f t="shared" si="16"/>
        <v>2785.4469100000001</v>
      </c>
      <c r="G25" s="58">
        <f t="shared" si="16"/>
        <v>2773.3814400000001</v>
      </c>
      <c r="H25" s="58">
        <f t="shared" si="6"/>
        <v>56.950623023532806</v>
      </c>
      <c r="I25" s="58">
        <f t="shared" si="7"/>
        <v>99.566838988864461</v>
      </c>
      <c r="J25" s="58">
        <f t="shared" ref="J25:AG25" si="17">J27+J28+J26</f>
        <v>0</v>
      </c>
      <c r="K25" s="58">
        <f t="shared" si="17"/>
        <v>0</v>
      </c>
      <c r="L25" s="58">
        <f t="shared" si="17"/>
        <v>698.51313000000005</v>
      </c>
      <c r="M25" s="58">
        <f t="shared" si="17"/>
        <v>698.13587000000007</v>
      </c>
      <c r="N25" s="58">
        <f t="shared" si="17"/>
        <v>695.04782</v>
      </c>
      <c r="O25" s="58">
        <f t="shared" si="17"/>
        <v>694.25885000000005</v>
      </c>
      <c r="P25" s="58">
        <f t="shared" si="17"/>
        <v>692.22600999999997</v>
      </c>
      <c r="Q25" s="58">
        <f t="shared" si="17"/>
        <v>692.56648999999993</v>
      </c>
      <c r="R25" s="58">
        <f t="shared" si="17"/>
        <v>687.59510999999998</v>
      </c>
      <c r="S25" s="58">
        <f t="shared" si="17"/>
        <v>688.42022999999995</v>
      </c>
      <c r="T25" s="58">
        <f t="shared" si="17"/>
        <v>12.06484</v>
      </c>
      <c r="U25" s="58">
        <f t="shared" si="17"/>
        <v>0</v>
      </c>
      <c r="V25" s="58">
        <f t="shared" si="17"/>
        <v>0</v>
      </c>
      <c r="W25" s="58">
        <f t="shared" si="17"/>
        <v>0</v>
      </c>
      <c r="X25" s="58">
        <f t="shared" si="17"/>
        <v>0</v>
      </c>
      <c r="Y25" s="58">
        <f t="shared" si="17"/>
        <v>0</v>
      </c>
      <c r="Z25" s="58">
        <f t="shared" si="17"/>
        <v>692.22602000000006</v>
      </c>
      <c r="AA25" s="58">
        <f t="shared" si="17"/>
        <v>0</v>
      </c>
      <c r="AB25" s="58">
        <f t="shared" si="17"/>
        <v>690.41915999999992</v>
      </c>
      <c r="AC25" s="58">
        <f t="shared" si="17"/>
        <v>0</v>
      </c>
      <c r="AD25" s="58">
        <f t="shared" si="17"/>
        <v>701.70790999999997</v>
      </c>
      <c r="AE25" s="58">
        <f t="shared" si="17"/>
        <v>0</v>
      </c>
      <c r="AF25" s="58">
        <f t="shared" si="17"/>
        <v>0</v>
      </c>
      <c r="AG25" s="58">
        <f t="shared" si="17"/>
        <v>0</v>
      </c>
      <c r="AH25" s="60"/>
      <c r="AI25" s="23"/>
      <c r="AJ25" s="260">
        <f t="shared" si="3"/>
        <v>12.06546999999955</v>
      </c>
    </row>
    <row r="26" spans="1:36" s="21" customFormat="1" ht="42.75" hidden="1" customHeight="1" x14ac:dyDescent="0.25">
      <c r="A26" s="540"/>
      <c r="B26" s="576"/>
      <c r="C26" s="126" t="s">
        <v>52</v>
      </c>
      <c r="D26" s="74">
        <f>SUM(J26,L26,N26,P26,R26,T26,V26,X26,Z26,AB26,AD26,AF26)</f>
        <v>0</v>
      </c>
      <c r="E26" s="62">
        <f>J26</f>
        <v>0</v>
      </c>
      <c r="F26" s="62">
        <f>G26</f>
        <v>0</v>
      </c>
      <c r="G26" s="62">
        <f>SUM(K26,M26,O26,Q26,S26,U26,W26,Y26,AA26,AC26,AE26,AG26)</f>
        <v>0</v>
      </c>
      <c r="H26" s="62">
        <f t="shared" si="6"/>
        <v>0</v>
      </c>
      <c r="I26" s="62">
        <f t="shared" si="7"/>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v>
      </c>
      <c r="AG26" s="62">
        <v>0</v>
      </c>
      <c r="AH26" s="60"/>
      <c r="AI26" s="23"/>
      <c r="AJ26" s="260">
        <f t="shared" si="3"/>
        <v>0</v>
      </c>
    </row>
    <row r="27" spans="1:36" s="21" customFormat="1" ht="105.75" customHeight="1" x14ac:dyDescent="0.25">
      <c r="A27" s="540"/>
      <c r="B27" s="576"/>
      <c r="C27" s="126" t="s">
        <v>22</v>
      </c>
      <c r="D27" s="74">
        <f>SUM(J27,L27,N27,P27,R27,T27,V27,X27,Z27,AB27,AD27,AF27)</f>
        <v>1400.0000000000002</v>
      </c>
      <c r="E27" s="62">
        <f>J27+L27+N27+P27+R27+T27</f>
        <v>799.52381000000003</v>
      </c>
      <c r="F27" s="62">
        <v>799.52381000000003</v>
      </c>
      <c r="G27" s="62">
        <f>SUM(K27,M27,O27,Q27,S27,U27,W27,Y27,AA27,AC27,AE27,AG27)</f>
        <v>799.52318000000002</v>
      </c>
      <c r="H27" s="62">
        <f t="shared" si="6"/>
        <v>57.108798571428565</v>
      </c>
      <c r="I27" s="62">
        <f t="shared" si="7"/>
        <v>99.999921203097131</v>
      </c>
      <c r="J27" s="63">
        <v>0</v>
      </c>
      <c r="K27" s="63">
        <v>0</v>
      </c>
      <c r="L27" s="63">
        <v>200</v>
      </c>
      <c r="M27" s="63">
        <v>200</v>
      </c>
      <c r="N27" s="63">
        <v>199.52381</v>
      </c>
      <c r="O27" s="63">
        <v>199.52318</v>
      </c>
      <c r="P27" s="63">
        <v>200</v>
      </c>
      <c r="Q27" s="63">
        <v>200</v>
      </c>
      <c r="R27" s="63">
        <v>200</v>
      </c>
      <c r="S27" s="63">
        <v>200</v>
      </c>
      <c r="T27" s="63">
        <v>0</v>
      </c>
      <c r="U27" s="63">
        <v>0</v>
      </c>
      <c r="V27" s="63">
        <v>0</v>
      </c>
      <c r="W27" s="63">
        <v>0</v>
      </c>
      <c r="X27" s="63">
        <v>0</v>
      </c>
      <c r="Y27" s="63">
        <v>0</v>
      </c>
      <c r="Z27" s="63">
        <v>200</v>
      </c>
      <c r="AA27" s="63">
        <v>0</v>
      </c>
      <c r="AB27" s="63">
        <v>200</v>
      </c>
      <c r="AC27" s="63">
        <v>0</v>
      </c>
      <c r="AD27" s="63">
        <v>200.47619</v>
      </c>
      <c r="AE27" s="63">
        <v>0</v>
      </c>
      <c r="AF27" s="63">
        <v>0</v>
      </c>
      <c r="AG27" s="63">
        <v>0</v>
      </c>
      <c r="AH27" s="272" t="s">
        <v>366</v>
      </c>
      <c r="AI27" s="23"/>
      <c r="AJ27" s="260">
        <f t="shared" si="3"/>
        <v>6.3000000000101863E-4</v>
      </c>
    </row>
    <row r="28" spans="1:36" s="22" customFormat="1" ht="38.25" customHeight="1" x14ac:dyDescent="0.25">
      <c r="A28" s="541"/>
      <c r="B28" s="577"/>
      <c r="C28" s="126" t="s">
        <v>21</v>
      </c>
      <c r="D28" s="74">
        <f>SUM(J28,L28,N28,P28,R28,T28,V28,X28,Z28,AB28,AD28,AF28)</f>
        <v>3469.7999999999993</v>
      </c>
      <c r="E28" s="62">
        <f>J28+L28+N28+P28+R28+T28</f>
        <v>1985.9230999999997</v>
      </c>
      <c r="F28" s="62">
        <v>1985.9231</v>
      </c>
      <c r="G28" s="62">
        <f>SUM(K28,M28,O28,Q28,S28,U28,W28,Y28,AA28,AC28,AE28,AG28)</f>
        <v>1973.85826</v>
      </c>
      <c r="H28" s="62">
        <f t="shared" si="6"/>
        <v>56.886802121159732</v>
      </c>
      <c r="I28" s="62">
        <f t="shared" si="7"/>
        <v>99.392482015038766</v>
      </c>
      <c r="J28" s="67">
        <v>0</v>
      </c>
      <c r="K28" s="67">
        <v>0</v>
      </c>
      <c r="L28" s="67">
        <v>498.51312999999999</v>
      </c>
      <c r="M28" s="67">
        <v>498.13587000000001</v>
      </c>
      <c r="N28" s="67">
        <v>495.52400999999998</v>
      </c>
      <c r="O28" s="67">
        <v>494.73567000000003</v>
      </c>
      <c r="P28" s="67">
        <v>492.22600999999997</v>
      </c>
      <c r="Q28" s="67">
        <f>492.56649</f>
        <v>492.56648999999999</v>
      </c>
      <c r="R28" s="67">
        <v>487.59510999999998</v>
      </c>
      <c r="S28" s="67">
        <v>488.42023</v>
      </c>
      <c r="T28" s="67">
        <v>12.06484</v>
      </c>
      <c r="U28" s="67">
        <v>0</v>
      </c>
      <c r="V28" s="67">
        <v>0</v>
      </c>
      <c r="W28" s="67">
        <v>0</v>
      </c>
      <c r="X28" s="67">
        <v>0</v>
      </c>
      <c r="Y28" s="67">
        <v>0</v>
      </c>
      <c r="Z28" s="67">
        <v>492.22602000000001</v>
      </c>
      <c r="AA28" s="67">
        <v>0</v>
      </c>
      <c r="AB28" s="67">
        <v>490.41915999999998</v>
      </c>
      <c r="AC28" s="67">
        <v>0</v>
      </c>
      <c r="AD28" s="67">
        <v>501.23172</v>
      </c>
      <c r="AE28" s="67">
        <v>0</v>
      </c>
      <c r="AF28" s="67">
        <v>0</v>
      </c>
      <c r="AG28" s="67">
        <v>0</v>
      </c>
      <c r="AH28" s="64"/>
      <c r="AI28" s="20"/>
      <c r="AJ28" s="260">
        <f t="shared" si="3"/>
        <v>12.064839999999776</v>
      </c>
    </row>
    <row r="29" spans="1:36" s="21" customFormat="1" ht="24.75" customHeight="1" x14ac:dyDescent="0.25">
      <c r="A29" s="539"/>
      <c r="B29" s="575" t="s">
        <v>210</v>
      </c>
      <c r="C29" s="125" t="s">
        <v>20</v>
      </c>
      <c r="D29" s="70">
        <f>D31+D32+D30</f>
        <v>2945.3999999999996</v>
      </c>
      <c r="E29" s="58">
        <f>E31+E32+E30</f>
        <v>1122.1650299999999</v>
      </c>
      <c r="F29" s="58">
        <f>F31+F32+F30</f>
        <v>1122.1650299999999</v>
      </c>
      <c r="G29" s="58">
        <f t="shared" ref="G29" si="18">G31+G32+G30</f>
        <v>971.25898000000007</v>
      </c>
      <c r="H29" s="58">
        <f t="shared" si="6"/>
        <v>32.975452570109333</v>
      </c>
      <c r="I29" s="58">
        <f t="shared" si="7"/>
        <v>86.552240894550081</v>
      </c>
      <c r="J29" s="58">
        <f t="shared" ref="J29:AG29" si="19">J31+J32+J30</f>
        <v>0</v>
      </c>
      <c r="K29" s="58">
        <f t="shared" si="19"/>
        <v>0</v>
      </c>
      <c r="L29" s="58">
        <f t="shared" si="19"/>
        <v>0</v>
      </c>
      <c r="M29" s="58">
        <f t="shared" si="19"/>
        <v>0</v>
      </c>
      <c r="N29" s="58">
        <f t="shared" si="19"/>
        <v>0</v>
      </c>
      <c r="O29" s="58">
        <f t="shared" si="19"/>
        <v>0</v>
      </c>
      <c r="P29" s="58">
        <f t="shared" si="19"/>
        <v>4.4587899999999996</v>
      </c>
      <c r="Q29" s="58">
        <f t="shared" si="19"/>
        <v>0</v>
      </c>
      <c r="R29" s="58">
        <f t="shared" si="19"/>
        <v>0</v>
      </c>
      <c r="S29" s="58">
        <f t="shared" si="19"/>
        <v>4.4587899999999996</v>
      </c>
      <c r="T29" s="58">
        <f t="shared" si="19"/>
        <v>1117.70624</v>
      </c>
      <c r="U29" s="58">
        <f t="shared" si="19"/>
        <v>966.80019000000004</v>
      </c>
      <c r="V29" s="58">
        <f t="shared" si="19"/>
        <v>911.90625</v>
      </c>
      <c r="W29" s="58">
        <f t="shared" si="19"/>
        <v>0</v>
      </c>
      <c r="X29" s="58">
        <f t="shared" si="19"/>
        <v>911.32871999999998</v>
      </c>
      <c r="Y29" s="58">
        <f t="shared" si="19"/>
        <v>0</v>
      </c>
      <c r="Z29" s="58">
        <f t="shared" si="19"/>
        <v>0</v>
      </c>
      <c r="AA29" s="58">
        <f t="shared" si="19"/>
        <v>0</v>
      </c>
      <c r="AB29" s="58">
        <f t="shared" si="19"/>
        <v>0</v>
      </c>
      <c r="AC29" s="58">
        <f t="shared" si="19"/>
        <v>0</v>
      </c>
      <c r="AD29" s="58">
        <f t="shared" si="19"/>
        <v>0</v>
      </c>
      <c r="AE29" s="58">
        <f t="shared" si="19"/>
        <v>0</v>
      </c>
      <c r="AF29" s="58">
        <f t="shared" si="19"/>
        <v>0</v>
      </c>
      <c r="AG29" s="58">
        <f t="shared" si="19"/>
        <v>0</v>
      </c>
      <c r="AH29" s="60"/>
      <c r="AI29" s="23"/>
      <c r="AJ29" s="260">
        <f t="shared" si="3"/>
        <v>150.90604999999982</v>
      </c>
    </row>
    <row r="30" spans="1:36" s="21" customFormat="1" ht="42.75" hidden="1" customHeight="1" x14ac:dyDescent="0.25">
      <c r="A30" s="540"/>
      <c r="B30" s="576"/>
      <c r="C30" s="126" t="s">
        <v>52</v>
      </c>
      <c r="D30" s="74">
        <f>SUM(J30,L30,N30,P30,R30,T30,V30,X30,Z30,AB30,AD30,AF30)</f>
        <v>0</v>
      </c>
      <c r="E30" s="62">
        <f>J30</f>
        <v>0</v>
      </c>
      <c r="F30" s="62">
        <f>G30</f>
        <v>0</v>
      </c>
      <c r="G30" s="62">
        <f>SUM(K30,M30,O30,Q30,S30,U30,W30,Y30,AA30,AC30,AE30,AG30)</f>
        <v>0</v>
      </c>
      <c r="H30" s="62">
        <f t="shared" si="6"/>
        <v>0</v>
      </c>
      <c r="I30" s="62">
        <f t="shared" si="7"/>
        <v>0</v>
      </c>
      <c r="J30" s="62">
        <v>0</v>
      </c>
      <c r="K30" s="62">
        <v>0</v>
      </c>
      <c r="L30" s="62">
        <v>0</v>
      </c>
      <c r="M30" s="62">
        <v>0</v>
      </c>
      <c r="N30" s="62">
        <v>0</v>
      </c>
      <c r="O30" s="62">
        <v>0</v>
      </c>
      <c r="P30" s="62">
        <v>0</v>
      </c>
      <c r="Q30" s="62">
        <v>0</v>
      </c>
      <c r="R30" s="62">
        <v>0</v>
      </c>
      <c r="S30" s="62">
        <v>0</v>
      </c>
      <c r="T30" s="62">
        <v>0</v>
      </c>
      <c r="U30" s="62">
        <v>0</v>
      </c>
      <c r="V30" s="62">
        <v>0</v>
      </c>
      <c r="W30" s="62">
        <v>0</v>
      </c>
      <c r="X30" s="62">
        <v>0</v>
      </c>
      <c r="Y30" s="62">
        <v>0</v>
      </c>
      <c r="Z30" s="62">
        <v>0</v>
      </c>
      <c r="AA30" s="62">
        <v>0</v>
      </c>
      <c r="AB30" s="62">
        <v>0</v>
      </c>
      <c r="AC30" s="62">
        <v>0</v>
      </c>
      <c r="AD30" s="62">
        <v>0</v>
      </c>
      <c r="AE30" s="62">
        <v>0</v>
      </c>
      <c r="AF30" s="62">
        <v>0</v>
      </c>
      <c r="AG30" s="62">
        <v>0</v>
      </c>
      <c r="AH30" s="60"/>
      <c r="AI30" s="23"/>
      <c r="AJ30" s="260">
        <f t="shared" si="3"/>
        <v>0</v>
      </c>
    </row>
    <row r="31" spans="1:36" s="21" customFormat="1" ht="48" hidden="1" customHeight="1" x14ac:dyDescent="0.25">
      <c r="A31" s="540"/>
      <c r="B31" s="576"/>
      <c r="C31" s="126" t="s">
        <v>22</v>
      </c>
      <c r="D31" s="74">
        <f>SUM(J31,L31,N31,P31,R31,T31,V31,X31,Z31,AB31,AD31,AF31)</f>
        <v>0</v>
      </c>
      <c r="E31" s="62">
        <f>J31</f>
        <v>0</v>
      </c>
      <c r="F31" s="62">
        <f>G31</f>
        <v>0</v>
      </c>
      <c r="G31" s="62">
        <f>SUM(K31,M31,O31,Q31,S31,U31,W31,Y31,AA31,AC31,AE31,AG31)</f>
        <v>0</v>
      </c>
      <c r="H31" s="62">
        <f t="shared" si="6"/>
        <v>0</v>
      </c>
      <c r="I31" s="62">
        <f t="shared" si="7"/>
        <v>0</v>
      </c>
      <c r="J31" s="63">
        <v>0</v>
      </c>
      <c r="K31" s="63">
        <v>0</v>
      </c>
      <c r="L31" s="63">
        <v>0</v>
      </c>
      <c r="M31" s="63">
        <v>0</v>
      </c>
      <c r="N31" s="63">
        <v>0</v>
      </c>
      <c r="O31" s="63">
        <v>0</v>
      </c>
      <c r="P31" s="63">
        <v>0</v>
      </c>
      <c r="Q31" s="63">
        <v>0</v>
      </c>
      <c r="R31" s="63">
        <v>0</v>
      </c>
      <c r="S31" s="63">
        <v>0</v>
      </c>
      <c r="T31" s="63">
        <v>0</v>
      </c>
      <c r="U31" s="63">
        <v>0</v>
      </c>
      <c r="V31" s="63">
        <v>0</v>
      </c>
      <c r="W31" s="63">
        <v>0</v>
      </c>
      <c r="X31" s="63">
        <v>0</v>
      </c>
      <c r="Y31" s="63">
        <v>0</v>
      </c>
      <c r="Z31" s="63">
        <v>0</v>
      </c>
      <c r="AA31" s="63">
        <v>0</v>
      </c>
      <c r="AB31" s="63">
        <v>0</v>
      </c>
      <c r="AC31" s="63">
        <v>0</v>
      </c>
      <c r="AD31" s="63">
        <v>0</v>
      </c>
      <c r="AE31" s="63">
        <v>0</v>
      </c>
      <c r="AF31" s="63">
        <v>0</v>
      </c>
      <c r="AG31" s="63">
        <v>0</v>
      </c>
      <c r="AH31" s="63">
        <v>0</v>
      </c>
      <c r="AI31" s="23"/>
      <c r="AJ31" s="260">
        <f t="shared" si="3"/>
        <v>0</v>
      </c>
    </row>
    <row r="32" spans="1:36" s="22" customFormat="1" ht="90" customHeight="1" x14ac:dyDescent="0.25">
      <c r="A32" s="541"/>
      <c r="B32" s="577"/>
      <c r="C32" s="126" t="s">
        <v>21</v>
      </c>
      <c r="D32" s="74">
        <f>SUM(J32,L32,N32,P32,R32,T32,V32,X32,Z32,AB32,AD32,AF32)</f>
        <v>2945.3999999999996</v>
      </c>
      <c r="E32" s="62">
        <f>J32+L32+N32+P32+R32+T32</f>
        <v>1122.1650299999999</v>
      </c>
      <c r="F32" s="62">
        <v>1122.1650299999999</v>
      </c>
      <c r="G32" s="62">
        <f>SUM(K32,M32,O32,Q32,S32,U32,W32,Y32,AA32,AC32,AE32,AG32)</f>
        <v>971.25898000000007</v>
      </c>
      <c r="H32" s="62">
        <f t="shared" si="6"/>
        <v>32.975452570109333</v>
      </c>
      <c r="I32" s="62">
        <f t="shared" si="7"/>
        <v>86.552240894550081</v>
      </c>
      <c r="J32" s="67">
        <v>0</v>
      </c>
      <c r="K32" s="67">
        <v>0</v>
      </c>
      <c r="L32" s="67">
        <v>0</v>
      </c>
      <c r="M32" s="67">
        <v>0</v>
      </c>
      <c r="N32" s="67">
        <v>0</v>
      </c>
      <c r="O32" s="67">
        <v>0</v>
      </c>
      <c r="P32" s="67">
        <v>4.4587899999999996</v>
      </c>
      <c r="Q32" s="67">
        <v>0</v>
      </c>
      <c r="R32" s="67">
        <v>0</v>
      </c>
      <c r="S32" s="67">
        <v>4.4587899999999996</v>
      </c>
      <c r="T32" s="67">
        <v>1117.70624</v>
      </c>
      <c r="U32" s="67">
        <v>966.80019000000004</v>
      </c>
      <c r="V32" s="67">
        <v>911.90625</v>
      </c>
      <c r="W32" s="67">
        <v>0</v>
      </c>
      <c r="X32" s="67">
        <v>911.32871999999998</v>
      </c>
      <c r="Y32" s="67">
        <v>0</v>
      </c>
      <c r="Z32" s="67">
        <v>0</v>
      </c>
      <c r="AA32" s="67">
        <v>0</v>
      </c>
      <c r="AB32" s="67">
        <v>0</v>
      </c>
      <c r="AC32" s="67">
        <v>0</v>
      </c>
      <c r="AD32" s="67">
        <v>0</v>
      </c>
      <c r="AE32" s="67">
        <v>0</v>
      </c>
      <c r="AF32" s="67">
        <v>0</v>
      </c>
      <c r="AG32" s="67">
        <v>0</v>
      </c>
      <c r="AH32" s="262" t="s">
        <v>367</v>
      </c>
      <c r="AI32" s="20"/>
      <c r="AJ32" s="260">
        <f t="shared" si="3"/>
        <v>150.90604999999982</v>
      </c>
    </row>
    <row r="33" spans="1:36" s="21" customFormat="1" ht="39.75" customHeight="1" x14ac:dyDescent="0.25">
      <c r="A33" s="553"/>
      <c r="B33" s="575" t="s">
        <v>211</v>
      </c>
      <c r="C33" s="125" t="s">
        <v>20</v>
      </c>
      <c r="D33" s="70">
        <f>D35+D36+D34</f>
        <v>100</v>
      </c>
      <c r="E33" s="58">
        <f>E35+E36+E34</f>
        <v>100</v>
      </c>
      <c r="F33" s="58">
        <f>F35+F36+F34</f>
        <v>52.9</v>
      </c>
      <c r="G33" s="58">
        <f t="shared" ref="G33" si="20">G35+G36+G34</f>
        <v>52.9</v>
      </c>
      <c r="H33" s="58">
        <f t="shared" si="6"/>
        <v>52.900000000000006</v>
      </c>
      <c r="I33" s="58">
        <f t="shared" si="7"/>
        <v>52.900000000000006</v>
      </c>
      <c r="J33" s="58">
        <f t="shared" ref="J33:AG33" si="21">J35+J36+J34</f>
        <v>0</v>
      </c>
      <c r="K33" s="58">
        <f t="shared" si="21"/>
        <v>0</v>
      </c>
      <c r="L33" s="58">
        <f t="shared" si="21"/>
        <v>0</v>
      </c>
      <c r="M33" s="58">
        <f t="shared" si="21"/>
        <v>0</v>
      </c>
      <c r="N33" s="58">
        <f t="shared" si="21"/>
        <v>0</v>
      </c>
      <c r="O33" s="58">
        <f t="shared" si="21"/>
        <v>0</v>
      </c>
      <c r="P33" s="58">
        <f t="shared" si="21"/>
        <v>0</v>
      </c>
      <c r="Q33" s="58">
        <f t="shared" si="21"/>
        <v>0</v>
      </c>
      <c r="R33" s="58">
        <f t="shared" si="21"/>
        <v>0</v>
      </c>
      <c r="S33" s="58">
        <f t="shared" si="21"/>
        <v>0</v>
      </c>
      <c r="T33" s="58">
        <f t="shared" si="21"/>
        <v>100</v>
      </c>
      <c r="U33" s="58">
        <f t="shared" si="21"/>
        <v>52.9</v>
      </c>
      <c r="V33" s="58">
        <f t="shared" si="21"/>
        <v>0</v>
      </c>
      <c r="W33" s="58">
        <f t="shared" si="21"/>
        <v>0</v>
      </c>
      <c r="X33" s="58">
        <f t="shared" si="21"/>
        <v>0</v>
      </c>
      <c r="Y33" s="58">
        <f t="shared" si="21"/>
        <v>0</v>
      </c>
      <c r="Z33" s="58">
        <f t="shared" si="21"/>
        <v>0</v>
      </c>
      <c r="AA33" s="58">
        <f t="shared" si="21"/>
        <v>0</v>
      </c>
      <c r="AB33" s="58">
        <f t="shared" si="21"/>
        <v>0</v>
      </c>
      <c r="AC33" s="58">
        <f t="shared" si="21"/>
        <v>0</v>
      </c>
      <c r="AD33" s="58">
        <f t="shared" si="21"/>
        <v>0</v>
      </c>
      <c r="AE33" s="58">
        <f t="shared" si="21"/>
        <v>0</v>
      </c>
      <c r="AF33" s="58">
        <f t="shared" si="21"/>
        <v>0</v>
      </c>
      <c r="AG33" s="58">
        <f t="shared" si="21"/>
        <v>0</v>
      </c>
      <c r="AH33" s="60"/>
      <c r="AI33" s="23"/>
      <c r="AJ33" s="260">
        <f t="shared" si="3"/>
        <v>47.1</v>
      </c>
    </row>
    <row r="34" spans="1:36" s="21" customFormat="1" ht="3.75" hidden="1" customHeight="1" x14ac:dyDescent="0.25">
      <c r="A34" s="549"/>
      <c r="B34" s="576"/>
      <c r="C34" s="126" t="s">
        <v>52</v>
      </c>
      <c r="D34" s="74">
        <f>SUM(J34,L34,N34,P34,R34,T34,V34,X34,Z34,AB34,AD34,AF34)</f>
        <v>0</v>
      </c>
      <c r="E34" s="62">
        <f>J34</f>
        <v>0</v>
      </c>
      <c r="F34" s="62">
        <f>G34</f>
        <v>0</v>
      </c>
      <c r="G34" s="62">
        <f>SUM(K34,M34,O34,Q34,S34,U34,W34,Y34,AA34,AC34,AE34,AG34)</f>
        <v>0</v>
      </c>
      <c r="H34" s="62">
        <f t="shared" si="6"/>
        <v>0</v>
      </c>
      <c r="I34" s="62">
        <f t="shared" si="7"/>
        <v>0</v>
      </c>
      <c r="J34" s="62">
        <v>0</v>
      </c>
      <c r="K34" s="62">
        <v>0</v>
      </c>
      <c r="L34" s="62">
        <v>0</v>
      </c>
      <c r="M34" s="62">
        <v>0</v>
      </c>
      <c r="N34" s="62">
        <v>0</v>
      </c>
      <c r="O34" s="62">
        <v>0</v>
      </c>
      <c r="P34" s="62">
        <v>0</v>
      </c>
      <c r="Q34" s="62">
        <v>0</v>
      </c>
      <c r="R34" s="62">
        <v>0</v>
      </c>
      <c r="S34" s="62">
        <v>0</v>
      </c>
      <c r="T34" s="62">
        <v>0</v>
      </c>
      <c r="U34" s="62">
        <v>0</v>
      </c>
      <c r="V34" s="62">
        <v>0</v>
      </c>
      <c r="W34" s="62">
        <v>0</v>
      </c>
      <c r="X34" s="62">
        <v>0</v>
      </c>
      <c r="Y34" s="62">
        <v>0</v>
      </c>
      <c r="Z34" s="62">
        <v>0</v>
      </c>
      <c r="AA34" s="62">
        <v>0</v>
      </c>
      <c r="AB34" s="62">
        <v>0</v>
      </c>
      <c r="AC34" s="62">
        <v>0</v>
      </c>
      <c r="AD34" s="62">
        <v>0</v>
      </c>
      <c r="AE34" s="62">
        <v>0</v>
      </c>
      <c r="AF34" s="62">
        <v>0</v>
      </c>
      <c r="AG34" s="62">
        <v>0</v>
      </c>
      <c r="AH34" s="60"/>
      <c r="AI34" s="23"/>
      <c r="AJ34" s="260">
        <f t="shared" si="3"/>
        <v>0</v>
      </c>
    </row>
    <row r="35" spans="1:36" s="21" customFormat="1" ht="97.5" customHeight="1" x14ac:dyDescent="0.25">
      <c r="A35" s="549"/>
      <c r="B35" s="576"/>
      <c r="C35" s="126" t="s">
        <v>22</v>
      </c>
      <c r="D35" s="74">
        <f>SUM(J35,L35,N35,P35,R35,T35,V35,X35,Z35,AB35,AD35,AF35)</f>
        <v>100</v>
      </c>
      <c r="E35" s="62">
        <f>J35+L35+N35+P35+R35+T35</f>
        <v>100</v>
      </c>
      <c r="F35" s="62">
        <v>52.9</v>
      </c>
      <c r="G35" s="62">
        <f>SUM(K35,M35,O35,Q35,S35,U35,W35,Y35,AA35,AC35,AE35,AG35)</f>
        <v>52.9</v>
      </c>
      <c r="H35" s="62">
        <f t="shared" si="6"/>
        <v>52.900000000000006</v>
      </c>
      <c r="I35" s="62">
        <f t="shared" si="7"/>
        <v>52.900000000000006</v>
      </c>
      <c r="J35" s="63">
        <v>0</v>
      </c>
      <c r="K35" s="63">
        <v>0</v>
      </c>
      <c r="L35" s="63">
        <v>0</v>
      </c>
      <c r="M35" s="63">
        <v>0</v>
      </c>
      <c r="N35" s="63">
        <v>0</v>
      </c>
      <c r="O35" s="63">
        <v>0</v>
      </c>
      <c r="P35" s="63">
        <v>0</v>
      </c>
      <c r="Q35" s="63">
        <v>0</v>
      </c>
      <c r="R35" s="63">
        <v>0</v>
      </c>
      <c r="S35" s="63">
        <v>0</v>
      </c>
      <c r="T35" s="63">
        <v>100</v>
      </c>
      <c r="U35" s="63">
        <v>52.9</v>
      </c>
      <c r="V35" s="63">
        <v>0</v>
      </c>
      <c r="W35" s="63">
        <v>0</v>
      </c>
      <c r="X35" s="63">
        <v>0</v>
      </c>
      <c r="Y35" s="63">
        <v>0</v>
      </c>
      <c r="Z35" s="63">
        <v>0</v>
      </c>
      <c r="AA35" s="63">
        <v>0</v>
      </c>
      <c r="AB35" s="63">
        <v>0</v>
      </c>
      <c r="AC35" s="63">
        <v>0</v>
      </c>
      <c r="AD35" s="63">
        <v>0</v>
      </c>
      <c r="AE35" s="63">
        <v>0</v>
      </c>
      <c r="AF35" s="63">
        <v>0</v>
      </c>
      <c r="AG35" s="63">
        <v>0</v>
      </c>
      <c r="AH35" s="373"/>
      <c r="AI35" s="23"/>
      <c r="AJ35" s="260">
        <f t="shared" si="3"/>
        <v>47.1</v>
      </c>
    </row>
    <row r="36" spans="1:36" s="22" customFormat="1" ht="64.5" hidden="1" customHeight="1" x14ac:dyDescent="0.25">
      <c r="A36" s="554"/>
      <c r="B36" s="577"/>
      <c r="C36" s="139" t="s">
        <v>21</v>
      </c>
      <c r="D36" s="140">
        <f>SUM(J36,L36,N36,P36,R36,T36,V36,X36,Z36,AB36,AD36,AF36)</f>
        <v>0</v>
      </c>
      <c r="E36" s="141">
        <f>J36</f>
        <v>0</v>
      </c>
      <c r="F36" s="141">
        <f>G36</f>
        <v>0</v>
      </c>
      <c r="G36" s="141">
        <f>SUM(K36,M36,O36,Q36,S36,U36,W36,Y36,AA36,AC36,AE36,AG36)</f>
        <v>0</v>
      </c>
      <c r="H36" s="141">
        <f t="shared" si="6"/>
        <v>0</v>
      </c>
      <c r="I36" s="141">
        <f t="shared" si="7"/>
        <v>0</v>
      </c>
      <c r="J36" s="142">
        <v>0</v>
      </c>
      <c r="K36" s="142">
        <v>0</v>
      </c>
      <c r="L36" s="142">
        <v>0</v>
      </c>
      <c r="M36" s="142">
        <v>0</v>
      </c>
      <c r="N36" s="142">
        <v>0</v>
      </c>
      <c r="O36" s="142">
        <v>0</v>
      </c>
      <c r="P36" s="142">
        <v>0</v>
      </c>
      <c r="Q36" s="142">
        <v>0</v>
      </c>
      <c r="R36" s="142">
        <v>0</v>
      </c>
      <c r="S36" s="142">
        <v>0</v>
      </c>
      <c r="T36" s="142">
        <v>0</v>
      </c>
      <c r="U36" s="142">
        <v>0</v>
      </c>
      <c r="V36" s="142">
        <v>0</v>
      </c>
      <c r="W36" s="142">
        <v>0</v>
      </c>
      <c r="X36" s="142">
        <v>0</v>
      </c>
      <c r="Y36" s="142">
        <v>0</v>
      </c>
      <c r="Z36" s="142">
        <v>0</v>
      </c>
      <c r="AA36" s="142">
        <v>0</v>
      </c>
      <c r="AB36" s="142">
        <v>0</v>
      </c>
      <c r="AC36" s="142">
        <v>0</v>
      </c>
      <c r="AD36" s="142">
        <v>0</v>
      </c>
      <c r="AE36" s="142">
        <v>0</v>
      </c>
      <c r="AF36" s="142">
        <v>0</v>
      </c>
      <c r="AG36" s="142">
        <v>0</v>
      </c>
      <c r="AH36" s="46"/>
      <c r="AI36" s="20"/>
    </row>
    <row r="37" spans="1:36" s="22" customFormat="1" ht="31.5" customHeight="1" x14ac:dyDescent="0.25">
      <c r="A37" s="115"/>
      <c r="B37" s="536" t="s">
        <v>212</v>
      </c>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8"/>
      <c r="AH37" s="46"/>
      <c r="AI37" s="20"/>
    </row>
    <row r="38" spans="1:36" s="21" customFormat="1" ht="23.25" customHeight="1" x14ac:dyDescent="0.25">
      <c r="A38" s="539" t="s">
        <v>38</v>
      </c>
      <c r="B38" s="578" t="s">
        <v>213</v>
      </c>
      <c r="C38" s="125" t="s">
        <v>20</v>
      </c>
      <c r="D38" s="70">
        <f>D40+D41+D39</f>
        <v>4122.5999999999995</v>
      </c>
      <c r="E38" s="58">
        <f t="shared" ref="E38:G38" si="22">E40+E41+E39</f>
        <v>2092.0151599999999</v>
      </c>
      <c r="F38" s="58">
        <f t="shared" si="22"/>
        <v>1961.5760299999999</v>
      </c>
      <c r="G38" s="58">
        <f t="shared" si="22"/>
        <v>1961.5827899999999</v>
      </c>
      <c r="H38" s="58">
        <f t="shared" ref="H38:H49" si="23">IFERROR(G38/D38*100,0)</f>
        <v>47.58120579246107</v>
      </c>
      <c r="I38" s="58">
        <f t="shared" ref="I38:I49" si="24">IFERROR(G38/E38*100,0)</f>
        <v>93.765228259626952</v>
      </c>
      <c r="J38" s="58">
        <f t="shared" ref="J38:AG38" si="25">J40+J41+J39</f>
        <v>433.23651000000001</v>
      </c>
      <c r="K38" s="58">
        <f t="shared" si="25"/>
        <v>260.55279000000002</v>
      </c>
      <c r="L38" s="58">
        <f t="shared" si="25"/>
        <v>308.48899999999998</v>
      </c>
      <c r="M38" s="58">
        <f t="shared" si="25"/>
        <v>389.49</v>
      </c>
      <c r="N38" s="58">
        <f t="shared" si="25"/>
        <v>255.209</v>
      </c>
      <c r="O38" s="58">
        <f t="shared" si="25"/>
        <v>217.22</v>
      </c>
      <c r="P38" s="58">
        <f t="shared" si="25"/>
        <v>424.51098000000002</v>
      </c>
      <c r="Q38" s="58">
        <f t="shared" si="25"/>
        <v>254.51</v>
      </c>
      <c r="R38" s="58">
        <f t="shared" si="25"/>
        <v>333.45</v>
      </c>
      <c r="S38" s="58">
        <f t="shared" si="25"/>
        <v>278.85000000000002</v>
      </c>
      <c r="T38" s="58">
        <f t="shared" si="25"/>
        <v>337.11966999999999</v>
      </c>
      <c r="U38" s="58">
        <f t="shared" si="25"/>
        <v>560.96</v>
      </c>
      <c r="V38" s="58">
        <f t="shared" si="25"/>
        <v>477.26431000000002</v>
      </c>
      <c r="W38" s="58">
        <f t="shared" si="25"/>
        <v>0</v>
      </c>
      <c r="X38" s="58">
        <f t="shared" si="25"/>
        <v>316.54500000000002</v>
      </c>
      <c r="Y38" s="58">
        <f t="shared" si="25"/>
        <v>0</v>
      </c>
      <c r="Z38" s="58">
        <f t="shared" si="25"/>
        <v>248.209</v>
      </c>
      <c r="AA38" s="58">
        <f t="shared" si="25"/>
        <v>0</v>
      </c>
      <c r="AB38" s="58">
        <f t="shared" si="25"/>
        <v>270.16030000000001</v>
      </c>
      <c r="AC38" s="58">
        <f t="shared" si="25"/>
        <v>0</v>
      </c>
      <c r="AD38" s="58">
        <f t="shared" si="25"/>
        <v>248.15299999999999</v>
      </c>
      <c r="AE38" s="58">
        <f t="shared" si="25"/>
        <v>0</v>
      </c>
      <c r="AF38" s="58">
        <f t="shared" si="25"/>
        <v>470.25322999999997</v>
      </c>
      <c r="AG38" s="58">
        <f t="shared" si="25"/>
        <v>0</v>
      </c>
      <c r="AH38" s="60"/>
      <c r="AI38" s="23"/>
      <c r="AJ38" s="160">
        <f t="shared" ref="AJ38:AJ49" si="26">E38-G38</f>
        <v>130.43236999999999</v>
      </c>
    </row>
    <row r="39" spans="1:36" s="21" customFormat="1" ht="32.25" hidden="1" customHeight="1" x14ac:dyDescent="0.25">
      <c r="A39" s="540"/>
      <c r="B39" s="599"/>
      <c r="C39" s="126" t="s">
        <v>52</v>
      </c>
      <c r="D39" s="74">
        <f>SUM(J39,L39,N39,P39,R39,T39,V39,X39,Z39,AB39,AD39,AF39)</f>
        <v>0</v>
      </c>
      <c r="E39" s="62">
        <f>J39</f>
        <v>0</v>
      </c>
      <c r="F39" s="62">
        <f>G39</f>
        <v>0</v>
      </c>
      <c r="G39" s="62">
        <f>SUM(K39,M39,O39,Q39,S39,U39,W39,Y39,AA39,AC39,AE39,AG39)</f>
        <v>0</v>
      </c>
      <c r="H39" s="62">
        <f t="shared" si="23"/>
        <v>0</v>
      </c>
      <c r="I39" s="62">
        <f t="shared" si="24"/>
        <v>0</v>
      </c>
      <c r="J39" s="62">
        <f>J43</f>
        <v>0</v>
      </c>
      <c r="K39" s="62">
        <f t="shared" ref="K39:AG40" si="27">K43</f>
        <v>0</v>
      </c>
      <c r="L39" s="62">
        <f t="shared" si="27"/>
        <v>0</v>
      </c>
      <c r="M39" s="62">
        <f t="shared" si="27"/>
        <v>0</v>
      </c>
      <c r="N39" s="62">
        <f t="shared" si="27"/>
        <v>0</v>
      </c>
      <c r="O39" s="62">
        <f t="shared" si="27"/>
        <v>0</v>
      </c>
      <c r="P39" s="62">
        <f t="shared" si="27"/>
        <v>0</v>
      </c>
      <c r="Q39" s="62">
        <f t="shared" si="27"/>
        <v>0</v>
      </c>
      <c r="R39" s="62">
        <f t="shared" si="27"/>
        <v>0</v>
      </c>
      <c r="S39" s="62">
        <f t="shared" si="27"/>
        <v>0</v>
      </c>
      <c r="T39" s="62">
        <f t="shared" si="27"/>
        <v>0</v>
      </c>
      <c r="U39" s="62">
        <f t="shared" si="27"/>
        <v>0</v>
      </c>
      <c r="V39" s="62">
        <f t="shared" si="27"/>
        <v>0</v>
      </c>
      <c r="W39" s="62">
        <f t="shared" si="27"/>
        <v>0</v>
      </c>
      <c r="X39" s="62">
        <f t="shared" si="27"/>
        <v>0</v>
      </c>
      <c r="Y39" s="62">
        <f t="shared" si="27"/>
        <v>0</v>
      </c>
      <c r="Z39" s="62">
        <f t="shared" si="27"/>
        <v>0</v>
      </c>
      <c r="AA39" s="62">
        <f t="shared" si="27"/>
        <v>0</v>
      </c>
      <c r="AB39" s="62">
        <f t="shared" si="27"/>
        <v>0</v>
      </c>
      <c r="AC39" s="62">
        <f t="shared" si="27"/>
        <v>0</v>
      </c>
      <c r="AD39" s="62">
        <f t="shared" si="27"/>
        <v>0</v>
      </c>
      <c r="AE39" s="62">
        <f t="shared" si="27"/>
        <v>0</v>
      </c>
      <c r="AF39" s="62">
        <f t="shared" si="27"/>
        <v>0</v>
      </c>
      <c r="AG39" s="62">
        <f t="shared" si="27"/>
        <v>0</v>
      </c>
      <c r="AH39" s="60"/>
      <c r="AI39" s="23"/>
      <c r="AJ39" s="160">
        <f t="shared" si="26"/>
        <v>0</v>
      </c>
    </row>
    <row r="40" spans="1:36" s="21" customFormat="1" ht="37.5" customHeight="1" x14ac:dyDescent="0.25">
      <c r="A40" s="540"/>
      <c r="B40" s="599"/>
      <c r="C40" s="126" t="s">
        <v>22</v>
      </c>
      <c r="D40" s="62">
        <f>D44</f>
        <v>4100.5999999999995</v>
      </c>
      <c r="E40" s="62">
        <f>E44</f>
        <v>2070.0151599999999</v>
      </c>
      <c r="F40" s="62">
        <f>F44</f>
        <v>1939.5760299999999</v>
      </c>
      <c r="G40" s="62">
        <f>SUM(K40,M40,O40,Q40,S40,U40,W40,Y40,AA40,AC40,AE40,AG40)</f>
        <v>1939.5827899999999</v>
      </c>
      <c r="H40" s="62">
        <f t="shared" si="23"/>
        <v>47.299975369458132</v>
      </c>
      <c r="I40" s="62">
        <f t="shared" si="24"/>
        <v>93.698965470378496</v>
      </c>
      <c r="J40" s="63">
        <f>J44</f>
        <v>433.23651000000001</v>
      </c>
      <c r="K40" s="63">
        <f t="shared" si="27"/>
        <v>260.55279000000002</v>
      </c>
      <c r="L40" s="63">
        <f t="shared" si="27"/>
        <v>308.48899999999998</v>
      </c>
      <c r="M40" s="63">
        <f t="shared" si="27"/>
        <v>389.49</v>
      </c>
      <c r="N40" s="63">
        <f t="shared" si="27"/>
        <v>255.209</v>
      </c>
      <c r="O40" s="63">
        <f t="shared" si="27"/>
        <v>217.22</v>
      </c>
      <c r="P40" s="63">
        <f t="shared" si="27"/>
        <v>424.51098000000002</v>
      </c>
      <c r="Q40" s="63">
        <f t="shared" si="27"/>
        <v>254.51</v>
      </c>
      <c r="R40" s="63">
        <f t="shared" si="27"/>
        <v>311.45</v>
      </c>
      <c r="S40" s="63">
        <f t="shared" si="27"/>
        <v>278.85000000000002</v>
      </c>
      <c r="T40" s="63">
        <f t="shared" si="27"/>
        <v>337.11966999999999</v>
      </c>
      <c r="U40" s="63">
        <f t="shared" si="27"/>
        <v>538.96</v>
      </c>
      <c r="V40" s="63">
        <f t="shared" si="27"/>
        <v>477.26431000000002</v>
      </c>
      <c r="W40" s="63">
        <f t="shared" si="27"/>
        <v>0</v>
      </c>
      <c r="X40" s="63">
        <f t="shared" si="27"/>
        <v>316.54500000000002</v>
      </c>
      <c r="Y40" s="63">
        <f t="shared" si="27"/>
        <v>0</v>
      </c>
      <c r="Z40" s="63">
        <f t="shared" si="27"/>
        <v>248.209</v>
      </c>
      <c r="AA40" s="63">
        <f t="shared" si="27"/>
        <v>0</v>
      </c>
      <c r="AB40" s="63">
        <f t="shared" si="27"/>
        <v>270.16030000000001</v>
      </c>
      <c r="AC40" s="63">
        <f t="shared" si="27"/>
        <v>0</v>
      </c>
      <c r="AD40" s="63">
        <f t="shared" si="27"/>
        <v>248.15299999999999</v>
      </c>
      <c r="AE40" s="63">
        <f t="shared" si="27"/>
        <v>0</v>
      </c>
      <c r="AF40" s="63">
        <f t="shared" si="27"/>
        <v>470.25322999999997</v>
      </c>
      <c r="AG40" s="63">
        <f t="shared" si="27"/>
        <v>0</v>
      </c>
      <c r="AH40" s="60"/>
      <c r="AI40" s="23"/>
      <c r="AJ40" s="160">
        <f t="shared" si="26"/>
        <v>130.43236999999999</v>
      </c>
    </row>
    <row r="41" spans="1:36" s="22" customFormat="1" ht="33" customHeight="1" x14ac:dyDescent="0.25">
      <c r="A41" s="540"/>
      <c r="B41" s="579"/>
      <c r="C41" s="126" t="s">
        <v>21</v>
      </c>
      <c r="D41" s="62">
        <f>D49+D45</f>
        <v>22</v>
      </c>
      <c r="E41" s="62">
        <f>E49+E45</f>
        <v>22</v>
      </c>
      <c r="F41" s="62">
        <f>F49+F45</f>
        <v>22</v>
      </c>
      <c r="G41" s="62">
        <f>SUM(K41,M41,O41,Q41,S41,U41,W41,Y41,AA41,AC41,AE41,AG41)</f>
        <v>22</v>
      </c>
      <c r="H41" s="62">
        <f t="shared" si="23"/>
        <v>100</v>
      </c>
      <c r="I41" s="62">
        <f t="shared" si="24"/>
        <v>100</v>
      </c>
      <c r="J41" s="67">
        <f>J49</f>
        <v>0</v>
      </c>
      <c r="K41" s="67">
        <f t="shared" ref="K41:AG41" si="28">K49</f>
        <v>0</v>
      </c>
      <c r="L41" s="67">
        <f t="shared" si="28"/>
        <v>0</v>
      </c>
      <c r="M41" s="67">
        <f t="shared" si="28"/>
        <v>0</v>
      </c>
      <c r="N41" s="67">
        <f t="shared" si="28"/>
        <v>0</v>
      </c>
      <c r="O41" s="67">
        <f t="shared" si="28"/>
        <v>0</v>
      </c>
      <c r="P41" s="67">
        <f t="shared" si="28"/>
        <v>0</v>
      </c>
      <c r="Q41" s="67">
        <f t="shared" si="28"/>
        <v>0</v>
      </c>
      <c r="R41" s="67">
        <f t="shared" si="28"/>
        <v>22</v>
      </c>
      <c r="S41" s="67">
        <f t="shared" si="28"/>
        <v>0</v>
      </c>
      <c r="T41" s="67">
        <f t="shared" si="28"/>
        <v>0</v>
      </c>
      <c r="U41" s="67">
        <f t="shared" si="28"/>
        <v>22</v>
      </c>
      <c r="V41" s="67">
        <f t="shared" si="28"/>
        <v>0</v>
      </c>
      <c r="W41" s="67">
        <f t="shared" si="28"/>
        <v>0</v>
      </c>
      <c r="X41" s="67">
        <f t="shared" si="28"/>
        <v>0</v>
      </c>
      <c r="Y41" s="67">
        <f t="shared" si="28"/>
        <v>0</v>
      </c>
      <c r="Z41" s="67">
        <f t="shared" si="28"/>
        <v>0</v>
      </c>
      <c r="AA41" s="67">
        <f t="shared" si="28"/>
        <v>0</v>
      </c>
      <c r="AB41" s="67">
        <f t="shared" si="28"/>
        <v>0</v>
      </c>
      <c r="AC41" s="67">
        <f t="shared" si="28"/>
        <v>0</v>
      </c>
      <c r="AD41" s="67">
        <f t="shared" si="28"/>
        <v>0</v>
      </c>
      <c r="AE41" s="67">
        <f t="shared" si="28"/>
        <v>0</v>
      </c>
      <c r="AF41" s="67">
        <f t="shared" si="28"/>
        <v>0</v>
      </c>
      <c r="AG41" s="67">
        <f t="shared" si="28"/>
        <v>0</v>
      </c>
      <c r="AH41" s="64"/>
      <c r="AI41" s="20"/>
      <c r="AJ41" s="160">
        <f t="shared" si="26"/>
        <v>0</v>
      </c>
    </row>
    <row r="42" spans="1:36" s="21" customFormat="1" ht="55.5" customHeight="1" x14ac:dyDescent="0.25">
      <c r="A42" s="127"/>
      <c r="B42" s="575" t="s">
        <v>214</v>
      </c>
      <c r="C42" s="125" t="s">
        <v>20</v>
      </c>
      <c r="D42" s="70">
        <f>D44+D45+D43</f>
        <v>4100.5999999999995</v>
      </c>
      <c r="E42" s="58">
        <f t="shared" ref="E42:G42" si="29">E44+E45+E43</f>
        <v>2070.0151599999999</v>
      </c>
      <c r="F42" s="58">
        <f t="shared" si="29"/>
        <v>1939.5760299999999</v>
      </c>
      <c r="G42" s="58">
        <f t="shared" si="29"/>
        <v>1939.5827899999999</v>
      </c>
      <c r="H42" s="58">
        <f t="shared" si="23"/>
        <v>47.299975369458132</v>
      </c>
      <c r="I42" s="58">
        <f t="shared" si="24"/>
        <v>93.698965470378496</v>
      </c>
      <c r="J42" s="58">
        <f t="shared" ref="J42:AG42" si="30">J44+J45+J43</f>
        <v>433.23651000000001</v>
      </c>
      <c r="K42" s="58">
        <f t="shared" si="30"/>
        <v>260.55279000000002</v>
      </c>
      <c r="L42" s="58">
        <f t="shared" si="30"/>
        <v>308.48899999999998</v>
      </c>
      <c r="M42" s="58">
        <f t="shared" si="30"/>
        <v>389.49</v>
      </c>
      <c r="N42" s="58">
        <f t="shared" si="30"/>
        <v>255.209</v>
      </c>
      <c r="O42" s="58">
        <f t="shared" si="30"/>
        <v>217.22</v>
      </c>
      <c r="P42" s="58">
        <f t="shared" si="30"/>
        <v>424.51098000000002</v>
      </c>
      <c r="Q42" s="58">
        <f t="shared" si="30"/>
        <v>254.51</v>
      </c>
      <c r="R42" s="58">
        <f t="shared" si="30"/>
        <v>311.45</v>
      </c>
      <c r="S42" s="58">
        <f t="shared" si="30"/>
        <v>278.85000000000002</v>
      </c>
      <c r="T42" s="58">
        <f t="shared" si="30"/>
        <v>337.11966999999999</v>
      </c>
      <c r="U42" s="58">
        <f t="shared" si="30"/>
        <v>538.96</v>
      </c>
      <c r="V42" s="58">
        <f t="shared" si="30"/>
        <v>477.26431000000002</v>
      </c>
      <c r="W42" s="58">
        <f t="shared" si="30"/>
        <v>0</v>
      </c>
      <c r="X42" s="58">
        <f t="shared" si="30"/>
        <v>316.54500000000002</v>
      </c>
      <c r="Y42" s="58">
        <f t="shared" si="30"/>
        <v>0</v>
      </c>
      <c r="Z42" s="58">
        <f t="shared" si="30"/>
        <v>248.209</v>
      </c>
      <c r="AA42" s="58">
        <f t="shared" si="30"/>
        <v>0</v>
      </c>
      <c r="AB42" s="58">
        <f t="shared" si="30"/>
        <v>270.16030000000001</v>
      </c>
      <c r="AC42" s="58">
        <f t="shared" si="30"/>
        <v>0</v>
      </c>
      <c r="AD42" s="58">
        <f t="shared" si="30"/>
        <v>248.15299999999999</v>
      </c>
      <c r="AE42" s="58">
        <f t="shared" si="30"/>
        <v>0</v>
      </c>
      <c r="AF42" s="58">
        <f t="shared" si="30"/>
        <v>470.25322999999997</v>
      </c>
      <c r="AG42" s="58">
        <f t="shared" si="30"/>
        <v>0</v>
      </c>
      <c r="AH42" s="60"/>
      <c r="AI42" s="23"/>
      <c r="AJ42" s="160">
        <f t="shared" si="26"/>
        <v>130.43236999999999</v>
      </c>
    </row>
    <row r="43" spans="1:36" s="21" customFormat="1" ht="45.75" hidden="1" customHeight="1" x14ac:dyDescent="0.25">
      <c r="A43" s="127"/>
      <c r="B43" s="576"/>
      <c r="C43" s="126" t="s">
        <v>52</v>
      </c>
      <c r="D43" s="74">
        <f>SUM(J43,L43,N43,P43,R43,T43,V43,X43,Z43,AB43,AD43,AF43)</f>
        <v>0</v>
      </c>
      <c r="E43" s="62">
        <f>J43</f>
        <v>0</v>
      </c>
      <c r="F43" s="62">
        <f>G43</f>
        <v>0</v>
      </c>
      <c r="G43" s="62">
        <f>SUM(K43,M43,O43,Q43,S43,U43,W43,Y43,AA43,AC43,AE43,AG43)</f>
        <v>0</v>
      </c>
      <c r="H43" s="62">
        <f t="shared" si="23"/>
        <v>0</v>
      </c>
      <c r="I43" s="62">
        <f t="shared" si="24"/>
        <v>0</v>
      </c>
      <c r="J43" s="62">
        <v>0</v>
      </c>
      <c r="K43" s="62">
        <v>0</v>
      </c>
      <c r="L43" s="62">
        <v>0</v>
      </c>
      <c r="M43" s="62">
        <v>0</v>
      </c>
      <c r="N43" s="62">
        <v>0</v>
      </c>
      <c r="O43" s="62">
        <v>0</v>
      </c>
      <c r="P43" s="62">
        <v>0</v>
      </c>
      <c r="Q43" s="62">
        <v>0</v>
      </c>
      <c r="R43" s="62">
        <v>0</v>
      </c>
      <c r="S43" s="62">
        <v>0</v>
      </c>
      <c r="T43" s="62">
        <v>0</v>
      </c>
      <c r="U43" s="62">
        <v>0</v>
      </c>
      <c r="V43" s="62">
        <v>0</v>
      </c>
      <c r="W43" s="62">
        <v>0</v>
      </c>
      <c r="X43" s="62">
        <v>0</v>
      </c>
      <c r="Y43" s="62">
        <v>0</v>
      </c>
      <c r="Z43" s="62">
        <v>0</v>
      </c>
      <c r="AA43" s="62">
        <v>0</v>
      </c>
      <c r="AB43" s="62">
        <v>0</v>
      </c>
      <c r="AC43" s="62">
        <v>0</v>
      </c>
      <c r="AD43" s="62">
        <v>0</v>
      </c>
      <c r="AE43" s="62">
        <v>0</v>
      </c>
      <c r="AF43" s="62">
        <v>0</v>
      </c>
      <c r="AG43" s="62">
        <v>0</v>
      </c>
      <c r="AH43" s="60"/>
      <c r="AI43" s="23"/>
      <c r="AJ43" s="260">
        <f t="shared" si="26"/>
        <v>0</v>
      </c>
    </row>
    <row r="44" spans="1:36" s="21" customFormat="1" ht="325.5" customHeight="1" x14ac:dyDescent="0.25">
      <c r="A44" s="127"/>
      <c r="B44" s="576"/>
      <c r="C44" s="126" t="s">
        <v>22</v>
      </c>
      <c r="D44" s="74">
        <f>SUM(J44,L44,N44,P44,R44,T44,V44,X44,Z44,AB44,AD44,AF44)</f>
        <v>4100.5999999999995</v>
      </c>
      <c r="E44" s="62">
        <f>J44+L44+N44+P44+R44+T44</f>
        <v>2070.0151599999999</v>
      </c>
      <c r="F44" s="62">
        <v>1939.5760299999999</v>
      </c>
      <c r="G44" s="62">
        <f>SUM(K44,M44,O44,Q44,S44,U44,W44,Y44,AA44,AC44,AE44,AG44)</f>
        <v>1939.5827899999999</v>
      </c>
      <c r="H44" s="62">
        <f t="shared" si="23"/>
        <v>47.299975369458132</v>
      </c>
      <c r="I44" s="62">
        <f t="shared" si="24"/>
        <v>93.698965470378496</v>
      </c>
      <c r="J44" s="63">
        <v>433.23651000000001</v>
      </c>
      <c r="K44" s="63">
        <v>260.55279000000002</v>
      </c>
      <c r="L44" s="63">
        <v>308.48899999999998</v>
      </c>
      <c r="M44" s="63">
        <v>389.49</v>
      </c>
      <c r="N44" s="63">
        <v>255.209</v>
      </c>
      <c r="O44" s="63">
        <v>217.22</v>
      </c>
      <c r="P44" s="63">
        <v>424.51098000000002</v>
      </c>
      <c r="Q44" s="63">
        <v>254.51</v>
      </c>
      <c r="R44" s="63">
        <v>311.45</v>
      </c>
      <c r="S44" s="63">
        <v>278.85000000000002</v>
      </c>
      <c r="T44" s="63">
        <v>337.11966999999999</v>
      </c>
      <c r="U44" s="63">
        <v>538.96</v>
      </c>
      <c r="V44" s="63">
        <v>477.26431000000002</v>
      </c>
      <c r="W44" s="63">
        <v>0</v>
      </c>
      <c r="X44" s="63">
        <v>316.54500000000002</v>
      </c>
      <c r="Y44" s="63">
        <v>0</v>
      </c>
      <c r="Z44" s="63">
        <v>248.209</v>
      </c>
      <c r="AA44" s="63">
        <v>0</v>
      </c>
      <c r="AB44" s="63">
        <v>270.16030000000001</v>
      </c>
      <c r="AC44" s="63">
        <v>0</v>
      </c>
      <c r="AD44" s="63">
        <v>248.15299999999999</v>
      </c>
      <c r="AE44" s="63">
        <v>0</v>
      </c>
      <c r="AF44" s="63">
        <v>470.25322999999997</v>
      </c>
      <c r="AG44" s="63">
        <v>0</v>
      </c>
      <c r="AH44" s="262" t="s">
        <v>368</v>
      </c>
      <c r="AI44" s="23"/>
      <c r="AJ44" s="260">
        <f t="shared" si="26"/>
        <v>130.43236999999999</v>
      </c>
    </row>
    <row r="45" spans="1:36" s="22" customFormat="1" ht="36.75" customHeight="1" x14ac:dyDescent="0.25">
      <c r="A45" s="127"/>
      <c r="B45" s="577"/>
      <c r="C45" s="126" t="s">
        <v>21</v>
      </c>
      <c r="D45" s="74">
        <f>SUM(J45,L45,N45,P45,R45,T45,V45,X45,Z45,AB45,AD45,AF45)</f>
        <v>0</v>
      </c>
      <c r="E45" s="62">
        <f>J45+L45+N45+P45+R45+T45</f>
        <v>0</v>
      </c>
      <c r="F45" s="62">
        <f>G45</f>
        <v>0</v>
      </c>
      <c r="G45" s="62">
        <f>SUM(K45,M45,O45,Q45,S45,U45,W45,Y45,AA45,AC45,AE45,AG45)</f>
        <v>0</v>
      </c>
      <c r="H45" s="62">
        <f t="shared" si="23"/>
        <v>0</v>
      </c>
      <c r="I45" s="62">
        <f t="shared" si="24"/>
        <v>0</v>
      </c>
      <c r="J45" s="67">
        <v>0</v>
      </c>
      <c r="K45" s="67">
        <v>0</v>
      </c>
      <c r="L45" s="67">
        <v>0</v>
      </c>
      <c r="M45" s="67">
        <v>0</v>
      </c>
      <c r="N45" s="67">
        <v>0</v>
      </c>
      <c r="O45" s="67">
        <v>0</v>
      </c>
      <c r="P45" s="67">
        <v>0</v>
      </c>
      <c r="Q45" s="67">
        <v>0</v>
      </c>
      <c r="R45" s="67">
        <v>0</v>
      </c>
      <c r="S45" s="67">
        <v>0</v>
      </c>
      <c r="T45" s="67">
        <v>0</v>
      </c>
      <c r="U45" s="67">
        <v>0</v>
      </c>
      <c r="V45" s="67">
        <v>0</v>
      </c>
      <c r="W45" s="67">
        <v>0</v>
      </c>
      <c r="X45" s="67">
        <v>0</v>
      </c>
      <c r="Y45" s="67">
        <v>0</v>
      </c>
      <c r="Z45" s="67">
        <v>0</v>
      </c>
      <c r="AA45" s="67">
        <v>0</v>
      </c>
      <c r="AB45" s="67">
        <v>0</v>
      </c>
      <c r="AC45" s="67">
        <v>0</v>
      </c>
      <c r="AD45" s="67">
        <v>0</v>
      </c>
      <c r="AE45" s="67">
        <v>0</v>
      </c>
      <c r="AF45" s="67">
        <v>0</v>
      </c>
      <c r="AG45" s="67">
        <v>0</v>
      </c>
      <c r="AH45" s="64"/>
      <c r="AI45" s="20"/>
      <c r="AJ45" s="160">
        <f t="shared" si="26"/>
        <v>0</v>
      </c>
    </row>
    <row r="46" spans="1:36" s="21" customFormat="1" ht="40.5" customHeight="1" x14ac:dyDescent="0.25">
      <c r="A46" s="127"/>
      <c r="B46" s="575" t="s">
        <v>215</v>
      </c>
      <c r="C46" s="125" t="s">
        <v>20</v>
      </c>
      <c r="D46" s="70">
        <f>D48+D49+D47</f>
        <v>22</v>
      </c>
      <c r="E46" s="58">
        <f>E48+E49+E47</f>
        <v>22</v>
      </c>
      <c r="F46" s="58">
        <f>F48+F49+F47</f>
        <v>22</v>
      </c>
      <c r="G46" s="58">
        <f>G48+G49+G47</f>
        <v>22</v>
      </c>
      <c r="H46" s="58">
        <f t="shared" si="23"/>
        <v>100</v>
      </c>
      <c r="I46" s="58">
        <f t="shared" si="24"/>
        <v>100</v>
      </c>
      <c r="J46" s="58">
        <f t="shared" ref="J46:AG46" si="31">J48+J49+J47</f>
        <v>0</v>
      </c>
      <c r="K46" s="58">
        <f t="shared" si="31"/>
        <v>0</v>
      </c>
      <c r="L46" s="58">
        <f t="shared" si="31"/>
        <v>0</v>
      </c>
      <c r="M46" s="58">
        <f t="shared" si="31"/>
        <v>0</v>
      </c>
      <c r="N46" s="58">
        <f t="shared" si="31"/>
        <v>0</v>
      </c>
      <c r="O46" s="58">
        <f t="shared" si="31"/>
        <v>0</v>
      </c>
      <c r="P46" s="58">
        <f t="shared" si="31"/>
        <v>0</v>
      </c>
      <c r="Q46" s="58">
        <f t="shared" si="31"/>
        <v>0</v>
      </c>
      <c r="R46" s="58">
        <f t="shared" si="31"/>
        <v>22</v>
      </c>
      <c r="S46" s="58">
        <f t="shared" si="31"/>
        <v>0</v>
      </c>
      <c r="T46" s="58">
        <f t="shared" si="31"/>
        <v>0</v>
      </c>
      <c r="U46" s="58">
        <f t="shared" si="31"/>
        <v>22</v>
      </c>
      <c r="V46" s="58">
        <f t="shared" si="31"/>
        <v>0</v>
      </c>
      <c r="W46" s="58">
        <f t="shared" si="31"/>
        <v>0</v>
      </c>
      <c r="X46" s="58">
        <f t="shared" si="31"/>
        <v>0</v>
      </c>
      <c r="Y46" s="58">
        <f t="shared" si="31"/>
        <v>0</v>
      </c>
      <c r="Z46" s="58">
        <f t="shared" si="31"/>
        <v>0</v>
      </c>
      <c r="AA46" s="58">
        <f t="shared" si="31"/>
        <v>0</v>
      </c>
      <c r="AB46" s="58">
        <f t="shared" si="31"/>
        <v>0</v>
      </c>
      <c r="AC46" s="58">
        <f t="shared" si="31"/>
        <v>0</v>
      </c>
      <c r="AD46" s="58">
        <f t="shared" si="31"/>
        <v>0</v>
      </c>
      <c r="AE46" s="58">
        <f t="shared" si="31"/>
        <v>0</v>
      </c>
      <c r="AF46" s="58">
        <f t="shared" si="31"/>
        <v>0</v>
      </c>
      <c r="AG46" s="58">
        <f t="shared" si="31"/>
        <v>0</v>
      </c>
      <c r="AH46" s="372"/>
      <c r="AI46" s="23"/>
      <c r="AJ46" s="260">
        <f t="shared" si="26"/>
        <v>0</v>
      </c>
    </row>
    <row r="47" spans="1:36" s="21" customFormat="1" ht="27" hidden="1" customHeight="1" x14ac:dyDescent="0.25">
      <c r="A47" s="127"/>
      <c r="B47" s="576"/>
      <c r="C47" s="126" t="s">
        <v>52</v>
      </c>
      <c r="D47" s="74">
        <f>SUM(J47,L47,N47,P47,R47,T47,V47,X47,Z47,AB47,AD47,AF47)</f>
        <v>0</v>
      </c>
      <c r="E47" s="62">
        <f>J47</f>
        <v>0</v>
      </c>
      <c r="F47" s="62">
        <f>G47</f>
        <v>0</v>
      </c>
      <c r="G47" s="62">
        <f>SUM(K47,M47,O47,Q47,S47,U47,W47,Y47,AA47,AC47,AE47,AG47)</f>
        <v>0</v>
      </c>
      <c r="H47" s="62">
        <f t="shared" si="23"/>
        <v>0</v>
      </c>
      <c r="I47" s="62">
        <f t="shared" si="24"/>
        <v>0</v>
      </c>
      <c r="J47" s="62">
        <v>0</v>
      </c>
      <c r="K47" s="62">
        <v>0</v>
      </c>
      <c r="L47" s="62">
        <v>0</v>
      </c>
      <c r="M47" s="62">
        <v>0</v>
      </c>
      <c r="N47" s="62">
        <v>0</v>
      </c>
      <c r="O47" s="62">
        <v>0</v>
      </c>
      <c r="P47" s="62">
        <v>0</v>
      </c>
      <c r="Q47" s="62">
        <v>0</v>
      </c>
      <c r="R47" s="62">
        <v>0</v>
      </c>
      <c r="S47" s="62">
        <v>0</v>
      </c>
      <c r="T47" s="62">
        <v>0</v>
      </c>
      <c r="U47" s="62">
        <v>0</v>
      </c>
      <c r="V47" s="62">
        <v>0</v>
      </c>
      <c r="W47" s="62">
        <v>0</v>
      </c>
      <c r="X47" s="62">
        <v>0</v>
      </c>
      <c r="Y47" s="62">
        <v>0</v>
      </c>
      <c r="Z47" s="62">
        <v>0</v>
      </c>
      <c r="AA47" s="62">
        <v>0</v>
      </c>
      <c r="AB47" s="62">
        <v>0</v>
      </c>
      <c r="AC47" s="62">
        <v>0</v>
      </c>
      <c r="AD47" s="62">
        <v>0</v>
      </c>
      <c r="AE47" s="62">
        <v>0</v>
      </c>
      <c r="AF47" s="62">
        <v>0</v>
      </c>
      <c r="AG47" s="62">
        <v>0</v>
      </c>
      <c r="AH47" s="60"/>
      <c r="AI47" s="23"/>
      <c r="AJ47" s="260">
        <f t="shared" si="26"/>
        <v>0</v>
      </c>
    </row>
    <row r="48" spans="1:36" s="21" customFormat="1" ht="120.75" hidden="1" customHeight="1" x14ac:dyDescent="0.25">
      <c r="A48" s="127"/>
      <c r="B48" s="576"/>
      <c r="C48" s="126" t="s">
        <v>22</v>
      </c>
      <c r="D48" s="74">
        <f>SUM(J48,L48,N48,P48,R48,T48,V48,X48,Z48,AB48,AD48,AF48)</f>
        <v>0</v>
      </c>
      <c r="E48" s="62">
        <f>J48</f>
        <v>0</v>
      </c>
      <c r="F48" s="62">
        <f>G48</f>
        <v>0</v>
      </c>
      <c r="G48" s="62">
        <f>SUM(K48,M48,O48,Q48,S48,U48,W48,Y48,AA48,AC48,AE48,AG48)</f>
        <v>0</v>
      </c>
      <c r="H48" s="62">
        <f t="shared" si="23"/>
        <v>0</v>
      </c>
      <c r="I48" s="62">
        <f t="shared" si="24"/>
        <v>0</v>
      </c>
      <c r="J48" s="63">
        <v>0</v>
      </c>
      <c r="K48" s="63">
        <v>0</v>
      </c>
      <c r="L48" s="63">
        <v>0</v>
      </c>
      <c r="M48" s="63">
        <v>0</v>
      </c>
      <c r="N48" s="63">
        <v>0</v>
      </c>
      <c r="O48" s="63">
        <v>0</v>
      </c>
      <c r="P48" s="63">
        <v>0</v>
      </c>
      <c r="Q48" s="63">
        <v>0</v>
      </c>
      <c r="R48" s="63">
        <v>0</v>
      </c>
      <c r="S48" s="63">
        <v>0</v>
      </c>
      <c r="T48" s="63">
        <v>0</v>
      </c>
      <c r="U48" s="63">
        <v>0</v>
      </c>
      <c r="V48" s="63">
        <v>0</v>
      </c>
      <c r="W48" s="63">
        <v>0</v>
      </c>
      <c r="X48" s="63">
        <v>0</v>
      </c>
      <c r="Y48" s="63">
        <v>0</v>
      </c>
      <c r="Z48" s="63">
        <v>0</v>
      </c>
      <c r="AA48" s="63">
        <v>0</v>
      </c>
      <c r="AB48" s="63">
        <v>0</v>
      </c>
      <c r="AC48" s="63">
        <v>0</v>
      </c>
      <c r="AD48" s="63">
        <v>0</v>
      </c>
      <c r="AE48" s="63">
        <v>0</v>
      </c>
      <c r="AF48" s="63">
        <v>0</v>
      </c>
      <c r="AG48" s="63">
        <v>0</v>
      </c>
      <c r="AH48" s="60"/>
      <c r="AI48" s="23"/>
      <c r="AJ48" s="260">
        <f t="shared" si="26"/>
        <v>0</v>
      </c>
    </row>
    <row r="49" spans="1:36" s="22" customFormat="1" ht="30" customHeight="1" x14ac:dyDescent="0.25">
      <c r="A49" s="128"/>
      <c r="B49" s="577"/>
      <c r="C49" s="126" t="s">
        <v>21</v>
      </c>
      <c r="D49" s="74">
        <f>SUM(J49,L49,N49,P49,R49,T49,V49,X49,Z49,AB49,AD49,AF49)</f>
        <v>22</v>
      </c>
      <c r="E49" s="62">
        <f>J49+L49+N49+P49+R49+T49</f>
        <v>22</v>
      </c>
      <c r="F49" s="62">
        <f>G49</f>
        <v>22</v>
      </c>
      <c r="G49" s="62">
        <v>22</v>
      </c>
      <c r="H49" s="62">
        <f t="shared" si="23"/>
        <v>100</v>
      </c>
      <c r="I49" s="62">
        <f t="shared" si="24"/>
        <v>100</v>
      </c>
      <c r="J49" s="67">
        <v>0</v>
      </c>
      <c r="K49" s="67">
        <v>0</v>
      </c>
      <c r="L49" s="67">
        <v>0</v>
      </c>
      <c r="M49" s="67">
        <v>0</v>
      </c>
      <c r="N49" s="67">
        <v>0</v>
      </c>
      <c r="O49" s="67">
        <v>0</v>
      </c>
      <c r="P49" s="67">
        <v>0</v>
      </c>
      <c r="Q49" s="67">
        <v>0</v>
      </c>
      <c r="R49" s="67">
        <v>22</v>
      </c>
      <c r="S49" s="67">
        <v>0</v>
      </c>
      <c r="T49" s="67">
        <v>0</v>
      </c>
      <c r="U49" s="67">
        <v>22</v>
      </c>
      <c r="V49" s="67">
        <v>0</v>
      </c>
      <c r="W49" s="67">
        <v>0</v>
      </c>
      <c r="X49" s="67">
        <v>0</v>
      </c>
      <c r="Y49" s="67">
        <v>0</v>
      </c>
      <c r="Z49" s="67">
        <v>0</v>
      </c>
      <c r="AA49" s="67">
        <v>0</v>
      </c>
      <c r="AB49" s="67">
        <v>0</v>
      </c>
      <c r="AC49" s="67">
        <v>0</v>
      </c>
      <c r="AD49" s="67">
        <v>0</v>
      </c>
      <c r="AE49" s="67">
        <v>0</v>
      </c>
      <c r="AF49" s="67">
        <v>0</v>
      </c>
      <c r="AG49" s="67">
        <v>0</v>
      </c>
      <c r="AH49" s="64"/>
      <c r="AI49" s="20"/>
      <c r="AJ49" s="260">
        <f t="shared" si="26"/>
        <v>0</v>
      </c>
    </row>
  </sheetData>
  <customSheetViews>
    <customSheetView guid="{133BB3F8-8DD4-4AEF-8CD6-A5FB14681329}" scale="80" hiddenRows="1" state="hidden">
      <pane xSplit="6" ySplit="7" topLeftCell="G50" activePane="bottomRight" state="frozen"/>
      <selection pane="bottomRight" activeCell="Q19" sqref="Q19"/>
      <pageMargins left="0.7" right="0.7" top="0.75" bottom="0.75" header="0.3" footer="0.3"/>
      <pageSetup paperSize="9" orientation="portrait" r:id="rId1"/>
    </customSheetView>
    <customSheetView guid="{7C5A2A36-3D69-43D9-9018-A52C27EC78F9}" scale="80" hiddenRows="1">
      <pane xSplit="6" ySplit="7" topLeftCell="G8" activePane="bottomRight" state="frozen"/>
      <selection pane="bottomRight" activeCell="G57" sqref="G57"/>
      <pageMargins left="0.7" right="0.7" top="0.75" bottom="0.75" header="0.3" footer="0.3"/>
      <pageSetup paperSize="9" orientation="portrait" r:id="rId2"/>
    </customSheetView>
    <customSheetView guid="{2A5A11D4-90C6-4A3E-8165-7D7BD634B22F}" scale="80" hiddenRows="1">
      <pane xSplit="6" ySplit="7" topLeftCell="G8" activePane="bottomRight" state="frozen"/>
      <selection pane="bottomRight" activeCell="G57" sqref="G57"/>
      <pageMargins left="0.7" right="0.7" top="0.75" bottom="0.75" header="0.3" footer="0.3"/>
      <pageSetup paperSize="9" orientation="portrait" r:id="rId3"/>
    </customSheetView>
    <customSheetView guid="{996EC2F0-F6EC-4E63-A83E-34865157BD8D}" scale="80" hiddenRows="1">
      <pane xSplit="6" ySplit="7" topLeftCell="G8" activePane="bottomRight" state="frozen"/>
      <selection pane="bottomRight" activeCell="G57" sqref="G57"/>
      <pageMargins left="0.7" right="0.7" top="0.75" bottom="0.75" header="0.3" footer="0.3"/>
      <pageSetup paperSize="9" orientation="portrait" r:id="rId4"/>
    </customSheetView>
    <customSheetView guid="{AB9978E4-895D-4050-8F07-2484E22632D1}" scale="80" hiddenRows="1">
      <pane xSplit="6" ySplit="7" topLeftCell="G52" activePane="bottomRight" state="frozen"/>
      <selection pane="bottomRight" activeCell="G57" sqref="G57"/>
      <pageMargins left="0.7" right="0.7" top="0.75" bottom="0.75" header="0.3" footer="0.3"/>
      <pageSetup paperSize="9" orientation="portrait" r:id="rId5"/>
    </customSheetView>
    <customSheetView guid="{21E1D423-7B38-4272-8354-09B4DB62C9EB}" scale="80" hiddenRows="1">
      <pane xSplit="6" ySplit="7" topLeftCell="G8" activePane="bottomRight" state="frozen"/>
      <selection pane="bottomRight" activeCell="G57" sqref="G57"/>
      <pageMargins left="0.7" right="0.7" top="0.75" bottom="0.75" header="0.3" footer="0.3"/>
      <pageSetup paperSize="9" orientation="portrait" r:id="rId6"/>
    </customSheetView>
    <customSheetView guid="{2940A182-D1A7-43C5-8D6E-965BED4371B0}" scale="80" hiddenRows="1">
      <pane xSplit="6" ySplit="7" topLeftCell="G8" activePane="bottomRight" state="frozen"/>
      <selection pane="bottomRight" activeCell="G57" sqref="G57"/>
      <pageMargins left="0.7" right="0.7" top="0.75" bottom="0.75" header="0.3" footer="0.3"/>
      <pageSetup paperSize="9" orientation="portrait" r:id="rId7"/>
    </customSheetView>
    <customSheetView guid="{A0E2FBF6-E560-4343-8BE6-217DC798135B}" scale="80" hiddenRows="1">
      <pane xSplit="6" ySplit="7" topLeftCell="G8" activePane="bottomRight" state="frozen"/>
      <selection pane="bottomRight" activeCell="G7" sqref="G7"/>
      <pageMargins left="0.7" right="0.7" top="0.75" bottom="0.75" header="0.3" footer="0.3"/>
      <pageSetup paperSize="9" orientation="portrait" r:id="rId8"/>
    </customSheetView>
    <customSheetView guid="{BBF6B43F-E0FC-43DF-B91C-674F6AB4B556}" scale="80" hiddenRows="1">
      <pane xSplit="6" ySplit="7" topLeftCell="G8" activePane="bottomRight" state="frozen"/>
      <selection pane="bottomRight" activeCell="G57" sqref="G57"/>
      <pageMargins left="0.7" right="0.7" top="0.75" bottom="0.75" header="0.3" footer="0.3"/>
      <pageSetup paperSize="9" orientation="portrait" r:id="rId9"/>
    </customSheetView>
    <customSheetView guid="{C68436F4-AFB3-4D1D-A7C4-56D0C677D68E}" scale="80" hiddenRows="1">
      <pane xSplit="6" ySplit="7" topLeftCell="G8" activePane="bottomRight" state="frozen"/>
      <selection pane="bottomRight" activeCell="G57" sqref="G57"/>
      <pageMargins left="0.7" right="0.7" top="0.75" bottom="0.75" header="0.3" footer="0.3"/>
      <pageSetup paperSize="9" orientation="portrait" r:id="rId10"/>
    </customSheetView>
    <customSheetView guid="{DAEDC989-02E7-4319-8354-59410ACF3F1F}" scale="80" hiddenRows="1">
      <pane xSplit="6" ySplit="7" topLeftCell="G27" activePane="bottomRight" state="frozen"/>
      <selection pane="bottomRight" activeCell="G57" sqref="G57"/>
      <pageMargins left="0.7" right="0.7" top="0.75" bottom="0.75" header="0.3" footer="0.3"/>
      <pageSetup paperSize="9" orientation="portrait" r:id="rId11"/>
    </customSheetView>
    <customSheetView guid="{519948E4-0B24-465F-9D9E-44BE50D1D647}" scale="80" hiddenRows="1">
      <pane xSplit="6" ySplit="7" topLeftCell="G8" activePane="bottomRight" state="frozen"/>
      <selection pane="bottomRight" activeCell="G57" sqref="G57"/>
      <pageMargins left="0.7" right="0.7" top="0.75" bottom="0.75" header="0.3" footer="0.3"/>
      <pageSetup paperSize="9" orientation="portrait" r:id="rId12"/>
    </customSheetView>
    <customSheetView guid="{C7DC638A-7F60-46C9-A1FB-9ADEAE87F332}" scale="80" hiddenRows="1">
      <pane xSplit="6" ySplit="7" topLeftCell="G8" activePane="bottomRight" state="frozen"/>
      <selection pane="bottomRight" activeCell="G57" sqref="G57"/>
      <pageMargins left="0.7" right="0.7" top="0.75" bottom="0.75" header="0.3" footer="0.3"/>
      <pageSetup paperSize="9" orientation="portrait" r:id="rId13"/>
    </customSheetView>
    <customSheetView guid="{C01DC081-B312-4391-B775-A8CE76216D71}" scale="80" hiddenRows="1">
      <pane xSplit="6" ySplit="7" topLeftCell="G8" activePane="bottomRight" state="frozen"/>
      <selection pane="bottomRight" activeCell="G57" sqref="G57"/>
      <pageMargins left="0.7" right="0.7" top="0.75" bottom="0.75" header="0.3" footer="0.3"/>
      <pageSetup paperSize="9" orientation="portrait" r:id="rId14"/>
    </customSheetView>
    <customSheetView guid="{562453CE-35F5-40A3-AD14-6399D1197C99}" scale="80" hiddenRows="1">
      <pane xSplit="6" ySplit="7" topLeftCell="G27" activePane="bottomRight" state="frozen"/>
      <selection pane="bottomRight" activeCell="G57" sqref="G57"/>
      <pageMargins left="0.7" right="0.7" top="0.75" bottom="0.75" header="0.3" footer="0.3"/>
      <pageSetup paperSize="9" orientation="portrait" r:id="rId15"/>
    </customSheetView>
    <customSheetView guid="{A7640BE7-6438-4196-9A67-AF5B992A1E70}" scale="80" hiddenRows="1">
      <pane xSplit="6" ySplit="7" topLeftCell="G52" activePane="bottomRight" state="frozen"/>
      <selection pane="bottomRight" activeCell="G57" sqref="G57"/>
      <pageMargins left="0.7" right="0.7" top="0.75" bottom="0.75" header="0.3" footer="0.3"/>
      <pageSetup paperSize="9" orientation="portrait" r:id="rId16"/>
    </customSheetView>
    <customSheetView guid="{30B635D9-57DB-47D5-8A0F-4B30DD769960}" scale="80" hiddenRows="1">
      <pane xSplit="6" ySplit="7" topLeftCell="G8" activePane="bottomRight" state="frozen"/>
      <selection pane="bottomRight" activeCell="G57" sqref="G57"/>
      <pageMargins left="0.7" right="0.7" top="0.75" bottom="0.75" header="0.3" footer="0.3"/>
      <pageSetup paperSize="9" orientation="portrait" r:id="rId17"/>
    </customSheetView>
    <customSheetView guid="{20A05A62-CBE8-4538-BBC3-2AD9D3B8FAC0}" scale="80" hiddenRows="1">
      <pane xSplit="6" ySplit="7" topLeftCell="G8" activePane="bottomRight" state="frozen"/>
      <selection pane="bottomRight" activeCell="G57" sqref="G57"/>
      <pageMargins left="0.7" right="0.7" top="0.75" bottom="0.75" header="0.3" footer="0.3"/>
      <pageSetup paperSize="9" orientation="portrait" r:id="rId18"/>
    </customSheetView>
    <customSheetView guid="{C282AA4E-1BB5-4296-9AC6-844C0F88E5FC}" scale="80" hiddenRows="1">
      <pane xSplit="6" ySplit="7" topLeftCell="G8" activePane="bottomRight" state="frozen"/>
      <selection pane="bottomRight" activeCell="G57" sqref="G57"/>
      <pageMargins left="0.7" right="0.7" top="0.75" bottom="0.75" header="0.3" footer="0.3"/>
      <pageSetup paperSize="9" orientation="portrait" r:id="rId19"/>
    </customSheetView>
    <customSheetView guid="{4E221C17-6DAB-4FFA-B18C-35D4D85AF6E8}" scale="80" hiddenRows="1">
      <pane xSplit="6" ySplit="7" topLeftCell="G8" activePane="bottomRight" state="frozen"/>
      <selection pane="bottomRight" activeCell="G57" sqref="G57"/>
      <pageMargins left="0.7" right="0.7" top="0.75" bottom="0.75" header="0.3" footer="0.3"/>
      <pageSetup paperSize="9" orientation="portrait" r:id="rId20"/>
    </customSheetView>
    <customSheetView guid="{AFADB96A-0516-43C1-9F1B-0604F3CAC04A}" scale="80" hiddenRows="1">
      <pane xSplit="6" ySplit="7" topLeftCell="G8" activePane="bottomRight" state="frozen"/>
      <selection pane="bottomRight" activeCell="G57" sqref="G57"/>
      <pageMargins left="0.7" right="0.7" top="0.75" bottom="0.75" header="0.3" footer="0.3"/>
      <pageSetup paperSize="9" orientation="portrait" r:id="rId21"/>
    </customSheetView>
    <customSheetView guid="{F528EF6A-C113-49B5-B25F-D660F898CBFB}" scale="80" hiddenRows="1">
      <pane xSplit="6" ySplit="7" topLeftCell="G8" activePane="bottomRight" state="frozen"/>
      <selection pane="bottomRight" activeCell="G57" sqref="G57"/>
      <pageMargins left="0.7" right="0.7" top="0.75" bottom="0.75" header="0.3" footer="0.3"/>
      <pageSetup paperSize="9" orientation="portrait" r:id="rId22"/>
    </customSheetView>
    <customSheetView guid="{B6B60ED6-A6CC-4DA7-A8CA-5E6DB52D5A87}" scale="80" hiddenRows="1">
      <pane xSplit="6" ySplit="7" topLeftCell="G27" activePane="bottomRight" state="frozen"/>
      <selection pane="bottomRight" activeCell="G57" sqref="G57"/>
      <pageMargins left="0.7" right="0.7" top="0.75" bottom="0.75" header="0.3" footer="0.3"/>
      <pageSetup paperSize="9" orientation="portrait" r:id="rId23"/>
    </customSheetView>
    <customSheetView guid="{A4AF2100-C59D-4F60-9EAB-56D9103463F7}" scale="80" hiddenRows="1">
      <pane xSplit="6" ySplit="7" topLeftCell="G8" activePane="bottomRight" state="frozen"/>
      <selection pane="bottomRight" activeCell="G57" sqref="G57"/>
      <pageMargins left="0.7" right="0.7" top="0.75" bottom="0.75" header="0.3" footer="0.3"/>
      <pageSetup paperSize="9" orientation="portrait" r:id="rId24"/>
    </customSheetView>
    <customSheetView guid="{EA46B61D-849C-4795-A4FF-F8F1740022EB}" scale="80" hiddenRows="1">
      <pane xSplit="6" ySplit="7" topLeftCell="G8" activePane="bottomRight" state="frozen"/>
      <selection pane="bottomRight" activeCell="G57" sqref="G57"/>
      <pageMargins left="0.7" right="0.7" top="0.75" bottom="0.75" header="0.3" footer="0.3"/>
      <pageSetup paperSize="9" orientation="portrait" r:id="rId25"/>
    </customSheetView>
    <customSheetView guid="{B686A221-D885-4536-BEAC-E7F4BBC02150}" scale="80" hiddenRows="1">
      <pane xSplit="6" ySplit="7" topLeftCell="G27" activePane="bottomRight" state="frozen"/>
      <selection pane="bottomRight" activeCell="G57" sqref="G57"/>
      <pageMargins left="0.7" right="0.7" top="0.75" bottom="0.75" header="0.3" footer="0.3"/>
      <pageSetup paperSize="9" orientation="portrait" r:id="rId26"/>
    </customSheetView>
    <customSheetView guid="{60A1F930-4BEC-460A-8E14-01E47F6DD055}" scale="80" hiddenRows="1">
      <pane xSplit="6" ySplit="4" topLeftCell="G8" activePane="bottomRight" state="frozen"/>
      <selection pane="bottomRight" activeCell="G57" sqref="G57"/>
      <pageMargins left="0.7" right="0.7" top="0.75" bottom="0.75" header="0.3" footer="0.3"/>
      <pageSetup paperSize="9" orientation="portrait" r:id="rId27"/>
    </customSheetView>
    <customSheetView guid="{5DF2C78B-5EE4-439D-8D72-8D3A913B65F9}" scale="80" hiddenRows="1">
      <pane xSplit="6" ySplit="7" topLeftCell="G8" activePane="bottomRight" state="frozen"/>
      <selection pane="bottomRight" activeCell="G57" sqref="G57"/>
      <pageMargins left="0.7" right="0.7" top="0.75" bottom="0.75" header="0.3" footer="0.3"/>
      <pageSetup paperSize="9" orientation="portrait" r:id="rId28"/>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17:A20"/>
    <mergeCell ref="B17:B20"/>
    <mergeCell ref="A21:A24"/>
    <mergeCell ref="B21:B24"/>
    <mergeCell ref="A25:A28"/>
    <mergeCell ref="B25:B28"/>
    <mergeCell ref="B42:B45"/>
    <mergeCell ref="B46:B49"/>
    <mergeCell ref="A29:A32"/>
    <mergeCell ref="B29:B32"/>
    <mergeCell ref="A33:A36"/>
    <mergeCell ref="B33:B36"/>
    <mergeCell ref="B37:AG37"/>
    <mergeCell ref="A38:A41"/>
    <mergeCell ref="B38:B41"/>
  </mergeCells>
  <pageMargins left="0.7" right="0.7" top="0.75" bottom="0.75" header="0.3" footer="0.3"/>
  <pageSetup paperSize="9" orientation="portrait" r:id="rId2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5"/>
  <sheetViews>
    <sheetView zoomScale="80" zoomScaleNormal="80" workbookViewId="0">
      <pane xSplit="6" ySplit="7" topLeftCell="G8" activePane="bottomRight" state="frozen"/>
      <selection pane="topRight" activeCell="G1" sqref="G1"/>
      <selection pane="bottomLeft" activeCell="A8" sqref="A8"/>
      <selection pane="bottomRight" activeCell="F6" sqref="F6"/>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s="33" customFormat="1" x14ac:dyDescent="0.2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33" customFormat="1" ht="36.75" customHeight="1" x14ac:dyDescent="0.25">
      <c r="C3" s="512" t="s">
        <v>147</v>
      </c>
      <c r="D3" s="512"/>
      <c r="E3" s="512"/>
      <c r="F3" s="512"/>
      <c r="G3" s="512"/>
      <c r="H3" s="512"/>
      <c r="I3" s="512"/>
      <c r="J3" s="512"/>
      <c r="K3" s="512"/>
      <c r="L3" s="512"/>
      <c r="M3" s="512"/>
      <c r="N3" s="512"/>
      <c r="O3" s="512"/>
      <c r="P3" s="512"/>
      <c r="Q3" s="512"/>
      <c r="R3" s="512"/>
      <c r="S3" s="512"/>
      <c r="T3" s="36"/>
      <c r="U3" s="36"/>
      <c r="V3" s="36"/>
      <c r="W3" s="36"/>
      <c r="X3" s="36"/>
      <c r="Y3" s="36"/>
      <c r="Z3" s="36"/>
      <c r="AA3" s="36"/>
      <c r="AB3" s="36"/>
      <c r="AC3" s="36"/>
      <c r="AD3" s="37"/>
      <c r="AE3" s="37"/>
      <c r="AF3" s="37"/>
      <c r="AG3" s="37" t="s">
        <v>0</v>
      </c>
      <c r="AH3" s="37"/>
    </row>
    <row r="4" spans="1:35" s="33"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33"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33" customFormat="1" ht="64.5" customHeight="1" x14ac:dyDescent="0.25">
      <c r="A6" s="516"/>
      <c r="B6" s="519"/>
      <c r="C6" s="519"/>
      <c r="D6" s="38">
        <v>2025</v>
      </c>
      <c r="E6" s="39">
        <v>45962</v>
      </c>
      <c r="F6" s="39">
        <v>45962</v>
      </c>
      <c r="G6" s="39">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3" customFormat="1"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100" customFormat="1" ht="31.5" customHeight="1" x14ac:dyDescent="0.25">
      <c r="A8" s="610"/>
      <c r="B8" s="527" t="s">
        <v>23</v>
      </c>
      <c r="C8" s="97" t="s">
        <v>20</v>
      </c>
      <c r="D8" s="98">
        <f>D9+D10</f>
        <v>2258</v>
      </c>
      <c r="E8" s="98">
        <f>E9+E10</f>
        <v>2078</v>
      </c>
      <c r="F8" s="98">
        <f t="shared" ref="F8" si="0">F9+F10</f>
        <v>721.6</v>
      </c>
      <c r="G8" s="98">
        <f>G9+G10</f>
        <v>721.6</v>
      </c>
      <c r="H8" s="98">
        <f>IFERROR(G8/D8*100,0)</f>
        <v>31.957484499557133</v>
      </c>
      <c r="I8" s="98">
        <f>IFERROR(G8/E8*100,0)</f>
        <v>34.725697786333015</v>
      </c>
      <c r="J8" s="99">
        <f>J9+J10</f>
        <v>0</v>
      </c>
      <c r="K8" s="99">
        <f t="shared" ref="K8:AG8" si="1">K9+K10</f>
        <v>0</v>
      </c>
      <c r="L8" s="99">
        <f t="shared" si="1"/>
        <v>0</v>
      </c>
      <c r="M8" s="99">
        <f t="shared" si="1"/>
        <v>0</v>
      </c>
      <c r="N8" s="99">
        <f t="shared" si="1"/>
        <v>0</v>
      </c>
      <c r="O8" s="99">
        <f t="shared" si="1"/>
        <v>0</v>
      </c>
      <c r="P8" s="99">
        <f t="shared" si="1"/>
        <v>0</v>
      </c>
      <c r="Q8" s="99">
        <f t="shared" si="1"/>
        <v>0</v>
      </c>
      <c r="R8" s="99">
        <f t="shared" si="1"/>
        <v>0</v>
      </c>
      <c r="S8" s="99">
        <f t="shared" si="1"/>
        <v>0</v>
      </c>
      <c r="T8" s="99">
        <f t="shared" si="1"/>
        <v>1538</v>
      </c>
      <c r="U8" s="99">
        <f t="shared" si="1"/>
        <v>0</v>
      </c>
      <c r="V8" s="99">
        <f t="shared" si="1"/>
        <v>0</v>
      </c>
      <c r="W8" s="99">
        <f t="shared" si="1"/>
        <v>721.6</v>
      </c>
      <c r="X8" s="99">
        <f t="shared" si="1"/>
        <v>270</v>
      </c>
      <c r="Y8" s="99">
        <f t="shared" si="1"/>
        <v>0</v>
      </c>
      <c r="Z8" s="99">
        <f t="shared" si="1"/>
        <v>0</v>
      </c>
      <c r="AA8" s="99">
        <f t="shared" si="1"/>
        <v>0</v>
      </c>
      <c r="AB8" s="99">
        <f t="shared" si="1"/>
        <v>270</v>
      </c>
      <c r="AC8" s="99">
        <f t="shared" si="1"/>
        <v>0</v>
      </c>
      <c r="AD8" s="99">
        <f t="shared" si="1"/>
        <v>0</v>
      </c>
      <c r="AE8" s="99">
        <f t="shared" si="1"/>
        <v>0</v>
      </c>
      <c r="AF8" s="99">
        <f t="shared" si="1"/>
        <v>180</v>
      </c>
      <c r="AG8" s="99">
        <f t="shared" si="1"/>
        <v>0</v>
      </c>
      <c r="AH8" s="60"/>
    </row>
    <row r="9" spans="1:35" s="100" customFormat="1" ht="52.5" customHeight="1" x14ac:dyDescent="0.25">
      <c r="A9" s="611"/>
      <c r="B9" s="528"/>
      <c r="C9" s="101" t="s">
        <v>22</v>
      </c>
      <c r="D9" s="102">
        <f>D13</f>
        <v>1178</v>
      </c>
      <c r="E9" s="102">
        <f>E13</f>
        <v>1178</v>
      </c>
      <c r="F9" s="102">
        <f>F13</f>
        <v>631.6</v>
      </c>
      <c r="G9" s="102">
        <f>G13</f>
        <v>631.6</v>
      </c>
      <c r="H9" s="102">
        <f>IFERROR(G9/D9*100,0)</f>
        <v>53.616298811544993</v>
      </c>
      <c r="I9" s="102">
        <f>IFERROR(G9/E9*100,0)</f>
        <v>53.616298811544993</v>
      </c>
      <c r="J9" s="103">
        <f>J13</f>
        <v>0</v>
      </c>
      <c r="K9" s="103">
        <f t="shared" ref="K9:AG9" si="2">K13</f>
        <v>0</v>
      </c>
      <c r="L9" s="103">
        <f t="shared" si="2"/>
        <v>0</v>
      </c>
      <c r="M9" s="103">
        <f t="shared" si="2"/>
        <v>0</v>
      </c>
      <c r="N9" s="103">
        <f t="shared" si="2"/>
        <v>0</v>
      </c>
      <c r="O9" s="103">
        <f t="shared" si="2"/>
        <v>0</v>
      </c>
      <c r="P9" s="103">
        <f t="shared" si="2"/>
        <v>0</v>
      </c>
      <c r="Q9" s="103">
        <f t="shared" si="2"/>
        <v>0</v>
      </c>
      <c r="R9" s="103">
        <f t="shared" si="2"/>
        <v>0</v>
      </c>
      <c r="S9" s="103">
        <f t="shared" si="2"/>
        <v>0</v>
      </c>
      <c r="T9" s="103">
        <f t="shared" si="2"/>
        <v>1178</v>
      </c>
      <c r="U9" s="103">
        <f t="shared" si="2"/>
        <v>0</v>
      </c>
      <c r="V9" s="103">
        <f t="shared" si="2"/>
        <v>0</v>
      </c>
      <c r="W9" s="103">
        <f t="shared" si="2"/>
        <v>631.6</v>
      </c>
      <c r="X9" s="103">
        <f t="shared" si="2"/>
        <v>0</v>
      </c>
      <c r="Y9" s="103">
        <f t="shared" si="2"/>
        <v>0</v>
      </c>
      <c r="Z9" s="103">
        <f t="shared" si="2"/>
        <v>0</v>
      </c>
      <c r="AA9" s="103">
        <f t="shared" si="2"/>
        <v>0</v>
      </c>
      <c r="AB9" s="103">
        <f t="shared" si="2"/>
        <v>0</v>
      </c>
      <c r="AC9" s="103">
        <f t="shared" si="2"/>
        <v>0</v>
      </c>
      <c r="AD9" s="103">
        <f t="shared" si="2"/>
        <v>0</v>
      </c>
      <c r="AE9" s="103">
        <f t="shared" si="2"/>
        <v>0</v>
      </c>
      <c r="AF9" s="103">
        <f t="shared" si="2"/>
        <v>0</v>
      </c>
      <c r="AG9" s="103">
        <f t="shared" si="2"/>
        <v>0</v>
      </c>
      <c r="AH9" s="60"/>
    </row>
    <row r="10" spans="1:35" s="33" customFormat="1" ht="38.25" customHeight="1" x14ac:dyDescent="0.25">
      <c r="A10" s="612"/>
      <c r="B10" s="529"/>
      <c r="C10" s="101" t="s">
        <v>21</v>
      </c>
      <c r="D10" s="102">
        <f>D15</f>
        <v>1080</v>
      </c>
      <c r="E10" s="102">
        <f>E15</f>
        <v>900</v>
      </c>
      <c r="F10" s="102">
        <f>F15</f>
        <v>90</v>
      </c>
      <c r="G10" s="102">
        <f>G15</f>
        <v>90</v>
      </c>
      <c r="H10" s="102">
        <f>IFERROR(G10/D10*100,0)</f>
        <v>8.3333333333333321</v>
      </c>
      <c r="I10" s="102">
        <f>IFERROR(G10/E10*100,0)</f>
        <v>10</v>
      </c>
      <c r="J10" s="103">
        <f>J15</f>
        <v>0</v>
      </c>
      <c r="K10" s="103">
        <f t="shared" ref="K10:AG10" si="3">K15</f>
        <v>0</v>
      </c>
      <c r="L10" s="103">
        <f t="shared" si="3"/>
        <v>0</v>
      </c>
      <c r="M10" s="103">
        <f t="shared" si="3"/>
        <v>0</v>
      </c>
      <c r="N10" s="103">
        <f t="shared" si="3"/>
        <v>0</v>
      </c>
      <c r="O10" s="103">
        <f t="shared" si="3"/>
        <v>0</v>
      </c>
      <c r="P10" s="103">
        <f t="shared" si="3"/>
        <v>0</v>
      </c>
      <c r="Q10" s="103">
        <f t="shared" si="3"/>
        <v>0</v>
      </c>
      <c r="R10" s="103">
        <f t="shared" si="3"/>
        <v>0</v>
      </c>
      <c r="S10" s="103">
        <f t="shared" si="3"/>
        <v>0</v>
      </c>
      <c r="T10" s="103">
        <f t="shared" si="3"/>
        <v>360</v>
      </c>
      <c r="U10" s="103">
        <f t="shared" si="3"/>
        <v>0</v>
      </c>
      <c r="V10" s="103">
        <f t="shared" si="3"/>
        <v>0</v>
      </c>
      <c r="W10" s="103">
        <f t="shared" si="3"/>
        <v>90</v>
      </c>
      <c r="X10" s="103">
        <f t="shared" si="3"/>
        <v>270</v>
      </c>
      <c r="Y10" s="103">
        <f t="shared" si="3"/>
        <v>0</v>
      </c>
      <c r="Z10" s="103">
        <f t="shared" si="3"/>
        <v>0</v>
      </c>
      <c r="AA10" s="103">
        <f t="shared" si="3"/>
        <v>0</v>
      </c>
      <c r="AB10" s="103">
        <f t="shared" si="3"/>
        <v>270</v>
      </c>
      <c r="AC10" s="103">
        <f t="shared" si="3"/>
        <v>0</v>
      </c>
      <c r="AD10" s="103">
        <f t="shared" si="3"/>
        <v>0</v>
      </c>
      <c r="AE10" s="103">
        <f t="shared" si="3"/>
        <v>0</v>
      </c>
      <c r="AF10" s="103">
        <f t="shared" si="3"/>
        <v>180</v>
      </c>
      <c r="AG10" s="103">
        <f t="shared" si="3"/>
        <v>0</v>
      </c>
      <c r="AH10" s="64"/>
    </row>
    <row r="11" spans="1:35" s="33" customFormat="1" ht="18.75" customHeight="1" x14ac:dyDescent="0.25">
      <c r="A11" s="104"/>
      <c r="B11" s="536" t="s">
        <v>148</v>
      </c>
      <c r="C11" s="537"/>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8"/>
      <c r="AH11" s="64"/>
    </row>
    <row r="12" spans="1:35" s="100" customFormat="1" ht="85.5" customHeight="1" x14ac:dyDescent="0.25">
      <c r="A12" s="539" t="s">
        <v>37</v>
      </c>
      <c r="B12" s="514" t="s">
        <v>149</v>
      </c>
      <c r="C12" s="97" t="s">
        <v>20</v>
      </c>
      <c r="D12" s="98">
        <f>SUM(D13:D13)</f>
        <v>1178</v>
      </c>
      <c r="E12" s="98">
        <f>SUM(E13:E13)</f>
        <v>1178</v>
      </c>
      <c r="F12" s="98">
        <f>SUM(F13:F13)</f>
        <v>631.6</v>
      </c>
      <c r="G12" s="98">
        <f>SUM(G13:G13)</f>
        <v>631.6</v>
      </c>
      <c r="H12" s="98">
        <f>IFERROR(G12/D12*100,0)</f>
        <v>53.616298811544993</v>
      </c>
      <c r="I12" s="98">
        <f>IFERROR(G12/E12*100,0)</f>
        <v>53.616298811544993</v>
      </c>
      <c r="J12" s="99">
        <f t="shared" ref="J12:AG12" si="4">SUM(J13:J13)</f>
        <v>0</v>
      </c>
      <c r="K12" s="99">
        <f t="shared" si="4"/>
        <v>0</v>
      </c>
      <c r="L12" s="99">
        <f t="shared" si="4"/>
        <v>0</v>
      </c>
      <c r="M12" s="99">
        <f t="shared" si="4"/>
        <v>0</v>
      </c>
      <c r="N12" s="99">
        <f t="shared" si="4"/>
        <v>0</v>
      </c>
      <c r="O12" s="99">
        <f t="shared" si="4"/>
        <v>0</v>
      </c>
      <c r="P12" s="99">
        <f t="shared" si="4"/>
        <v>0</v>
      </c>
      <c r="Q12" s="99">
        <f t="shared" si="4"/>
        <v>0</v>
      </c>
      <c r="R12" s="99">
        <f t="shared" si="4"/>
        <v>0</v>
      </c>
      <c r="S12" s="99">
        <f t="shared" si="4"/>
        <v>0</v>
      </c>
      <c r="T12" s="99">
        <f t="shared" si="4"/>
        <v>1178</v>
      </c>
      <c r="U12" s="99">
        <f t="shared" si="4"/>
        <v>0</v>
      </c>
      <c r="V12" s="99">
        <f t="shared" si="4"/>
        <v>0</v>
      </c>
      <c r="W12" s="99">
        <f t="shared" si="4"/>
        <v>631.6</v>
      </c>
      <c r="X12" s="99">
        <f t="shared" si="4"/>
        <v>0</v>
      </c>
      <c r="Y12" s="99">
        <f t="shared" si="4"/>
        <v>0</v>
      </c>
      <c r="Z12" s="99">
        <f t="shared" si="4"/>
        <v>0</v>
      </c>
      <c r="AA12" s="99">
        <f t="shared" si="4"/>
        <v>0</v>
      </c>
      <c r="AB12" s="99">
        <f t="shared" si="4"/>
        <v>0</v>
      </c>
      <c r="AC12" s="99">
        <f t="shared" si="4"/>
        <v>0</v>
      </c>
      <c r="AD12" s="99">
        <f t="shared" si="4"/>
        <v>0</v>
      </c>
      <c r="AE12" s="99">
        <f t="shared" si="4"/>
        <v>0</v>
      </c>
      <c r="AF12" s="99">
        <f t="shared" si="4"/>
        <v>0</v>
      </c>
      <c r="AG12" s="99">
        <f t="shared" si="4"/>
        <v>0</v>
      </c>
      <c r="AH12" s="60"/>
      <c r="AI12" s="105"/>
    </row>
    <row r="13" spans="1:35" s="33" customFormat="1" ht="220.5" customHeight="1" x14ac:dyDescent="0.25">
      <c r="A13" s="541"/>
      <c r="B13" s="516"/>
      <c r="C13" s="101" t="s">
        <v>22</v>
      </c>
      <c r="D13" s="102">
        <f>SUM(J13,L13,N13,P13,R13,T13,V13,X13,Z13,AB13,AD13,AF13)</f>
        <v>1178</v>
      </c>
      <c r="E13" s="102">
        <f>J13+L13+N13+P13+R13+T13+V13+X13+Z13+AB13</f>
        <v>1178</v>
      </c>
      <c r="F13" s="102">
        <f>G13</f>
        <v>631.6</v>
      </c>
      <c r="G13" s="102">
        <f>SUM(K13,M13,O13,Q13,S13,U13,W13,Y13,AA13,AC13,AE13,AG13)</f>
        <v>631.6</v>
      </c>
      <c r="H13" s="102">
        <f>IFERROR(G13/D13*100,0)</f>
        <v>53.616298811544993</v>
      </c>
      <c r="I13" s="102">
        <f>IFERROR(G13/E13*100,0)</f>
        <v>53.616298811544993</v>
      </c>
      <c r="J13" s="103">
        <v>0</v>
      </c>
      <c r="K13" s="103">
        <v>0</v>
      </c>
      <c r="L13" s="103">
        <v>0</v>
      </c>
      <c r="M13" s="103">
        <v>0</v>
      </c>
      <c r="N13" s="103">
        <v>0</v>
      </c>
      <c r="O13" s="103">
        <v>0</v>
      </c>
      <c r="P13" s="103">
        <v>0</v>
      </c>
      <c r="Q13" s="103">
        <v>0</v>
      </c>
      <c r="R13" s="103">
        <v>0</v>
      </c>
      <c r="S13" s="103">
        <v>0</v>
      </c>
      <c r="T13" s="103">
        <v>1178</v>
      </c>
      <c r="U13" s="103">
        <v>0</v>
      </c>
      <c r="V13" s="103">
        <v>0</v>
      </c>
      <c r="W13" s="103">
        <v>631.6</v>
      </c>
      <c r="X13" s="103">
        <v>0</v>
      </c>
      <c r="Y13" s="103">
        <v>0</v>
      </c>
      <c r="Z13" s="103">
        <v>0</v>
      </c>
      <c r="AA13" s="103">
        <v>0</v>
      </c>
      <c r="AB13" s="103">
        <v>0</v>
      </c>
      <c r="AC13" s="103">
        <v>0</v>
      </c>
      <c r="AD13" s="103">
        <v>0</v>
      </c>
      <c r="AE13" s="103">
        <v>0</v>
      </c>
      <c r="AF13" s="103">
        <v>0</v>
      </c>
      <c r="AG13" s="103">
        <v>0</v>
      </c>
      <c r="AH13" s="64" t="s">
        <v>371</v>
      </c>
      <c r="AI13" s="106"/>
    </row>
    <row r="14" spans="1:35" s="100" customFormat="1" ht="90.75" customHeight="1" x14ac:dyDescent="0.25">
      <c r="A14" s="539" t="s">
        <v>51</v>
      </c>
      <c r="B14" s="514" t="s">
        <v>150</v>
      </c>
      <c r="C14" s="97" t="s">
        <v>20</v>
      </c>
      <c r="D14" s="98">
        <f>D15</f>
        <v>1080</v>
      </c>
      <c r="E14" s="98">
        <f>SUM(E15:E15)</f>
        <v>900</v>
      </c>
      <c r="F14" s="98">
        <f>SUM(F15:F15)</f>
        <v>90</v>
      </c>
      <c r="G14" s="98">
        <f>SUM(G15:G15)</f>
        <v>90</v>
      </c>
      <c r="H14" s="98">
        <f t="shared" ref="H14:H15" si="5">IFERROR(G14/D14*100,0)</f>
        <v>8.3333333333333321</v>
      </c>
      <c r="I14" s="98">
        <f t="shared" ref="I14:I15" si="6">IFERROR(G14/E14*100,0)</f>
        <v>10</v>
      </c>
      <c r="J14" s="99">
        <f t="shared" ref="J14:AG14" si="7">SUM(J15:J15)</f>
        <v>0</v>
      </c>
      <c r="K14" s="99">
        <f t="shared" si="7"/>
        <v>0</v>
      </c>
      <c r="L14" s="99">
        <f t="shared" si="7"/>
        <v>0</v>
      </c>
      <c r="M14" s="99">
        <f t="shared" si="7"/>
        <v>0</v>
      </c>
      <c r="N14" s="99">
        <f t="shared" si="7"/>
        <v>0</v>
      </c>
      <c r="O14" s="99">
        <f t="shared" si="7"/>
        <v>0</v>
      </c>
      <c r="P14" s="99">
        <f t="shared" si="7"/>
        <v>0</v>
      </c>
      <c r="Q14" s="99">
        <f t="shared" si="7"/>
        <v>0</v>
      </c>
      <c r="R14" s="99">
        <f t="shared" si="7"/>
        <v>0</v>
      </c>
      <c r="S14" s="99">
        <f t="shared" si="7"/>
        <v>0</v>
      </c>
      <c r="T14" s="99">
        <f t="shared" si="7"/>
        <v>360</v>
      </c>
      <c r="U14" s="99">
        <f t="shared" si="7"/>
        <v>0</v>
      </c>
      <c r="V14" s="99">
        <f t="shared" si="7"/>
        <v>0</v>
      </c>
      <c r="W14" s="99">
        <f t="shared" si="7"/>
        <v>90</v>
      </c>
      <c r="X14" s="99">
        <f t="shared" si="7"/>
        <v>270</v>
      </c>
      <c r="Y14" s="99">
        <f t="shared" si="7"/>
        <v>0</v>
      </c>
      <c r="Z14" s="99">
        <f t="shared" si="7"/>
        <v>0</v>
      </c>
      <c r="AA14" s="99">
        <f t="shared" si="7"/>
        <v>0</v>
      </c>
      <c r="AB14" s="99">
        <f t="shared" si="7"/>
        <v>270</v>
      </c>
      <c r="AC14" s="99">
        <f t="shared" si="7"/>
        <v>0</v>
      </c>
      <c r="AD14" s="99">
        <f t="shared" si="7"/>
        <v>0</v>
      </c>
      <c r="AE14" s="99">
        <f t="shared" si="7"/>
        <v>0</v>
      </c>
      <c r="AF14" s="99">
        <f t="shared" si="7"/>
        <v>180</v>
      </c>
      <c r="AG14" s="99">
        <f t="shared" si="7"/>
        <v>0</v>
      </c>
      <c r="AH14" s="60"/>
      <c r="AI14" s="106"/>
    </row>
    <row r="15" spans="1:35" s="33" customFormat="1" ht="243" customHeight="1" x14ac:dyDescent="0.25">
      <c r="A15" s="541"/>
      <c r="B15" s="516"/>
      <c r="C15" s="101" t="s">
        <v>21</v>
      </c>
      <c r="D15" s="102">
        <f>SUM(J15,L15,N15,P15,R15,T15,V15,X15,Z15,AB15,AD15,AF15)</f>
        <v>1080</v>
      </c>
      <c r="E15" s="102">
        <f>J15+L15+N15+P15+R15+T15+V15+X15+Z15+AB15</f>
        <v>900</v>
      </c>
      <c r="F15" s="102">
        <f>G15</f>
        <v>90</v>
      </c>
      <c r="G15" s="102">
        <f>SUM(K15,M15,O15,Q15,S15,U15,W15,Y15,AA15,AC15,AE15,AG15)</f>
        <v>90</v>
      </c>
      <c r="H15" s="102">
        <f t="shared" si="5"/>
        <v>8.3333333333333321</v>
      </c>
      <c r="I15" s="102">
        <f t="shared" si="6"/>
        <v>10</v>
      </c>
      <c r="J15" s="103">
        <v>0</v>
      </c>
      <c r="K15" s="103">
        <v>0</v>
      </c>
      <c r="L15" s="103">
        <v>0</v>
      </c>
      <c r="M15" s="103">
        <v>0</v>
      </c>
      <c r="N15" s="103">
        <v>0</v>
      </c>
      <c r="O15" s="103">
        <v>0</v>
      </c>
      <c r="P15" s="103">
        <v>0</v>
      </c>
      <c r="Q15" s="103">
        <v>0</v>
      </c>
      <c r="R15" s="103">
        <v>0</v>
      </c>
      <c r="S15" s="103">
        <v>0</v>
      </c>
      <c r="T15" s="103">
        <v>360</v>
      </c>
      <c r="U15" s="103">
        <v>0</v>
      </c>
      <c r="V15" s="103">
        <v>0</v>
      </c>
      <c r="W15" s="103">
        <v>90</v>
      </c>
      <c r="X15" s="103">
        <v>270</v>
      </c>
      <c r="Y15" s="103">
        <v>0</v>
      </c>
      <c r="Z15" s="103">
        <v>0</v>
      </c>
      <c r="AA15" s="103">
        <v>0</v>
      </c>
      <c r="AB15" s="103">
        <v>270</v>
      </c>
      <c r="AC15" s="103">
        <v>0</v>
      </c>
      <c r="AD15" s="103">
        <v>0</v>
      </c>
      <c r="AE15" s="103">
        <v>0</v>
      </c>
      <c r="AF15" s="103">
        <v>180</v>
      </c>
      <c r="AG15" s="103">
        <v>0</v>
      </c>
      <c r="AH15" s="64" t="s">
        <v>372</v>
      </c>
      <c r="AI15" s="106"/>
    </row>
  </sheetData>
  <customSheetViews>
    <customSheetView guid="{133BB3F8-8DD4-4AEF-8CD6-A5FB14681329}" scale="80" state="hidden">
      <pane xSplit="6" ySplit="7" topLeftCell="G8" activePane="bottomRight" state="frozen"/>
      <selection pane="bottomRight" activeCell="F6" sqref="F6"/>
      <pageMargins left="0.7" right="0.7" top="0.75" bottom="0.75" header="0.3" footer="0.3"/>
    </customSheetView>
    <customSheetView guid="{7C5A2A36-3D69-43D9-9018-A52C27EC78F9}" scale="80">
      <pane xSplit="6" ySplit="7" topLeftCell="G8" activePane="bottomRight" state="frozen"/>
      <selection pane="bottomRight" activeCell="G7" sqref="G7"/>
      <pageMargins left="0.7" right="0.7" top="0.75" bottom="0.75" header="0.3" footer="0.3"/>
      <pageSetup paperSize="9" orientation="portrait" r:id="rId1"/>
    </customSheetView>
    <customSheetView guid="{2A5A11D4-90C6-4A3E-8165-7D7BD634B22F}" scale="80">
      <pane xSplit="6" ySplit="7" topLeftCell="G8" activePane="bottomRight" state="frozen"/>
      <selection pane="bottomRight" activeCell="T23" sqref="T23"/>
      <pageMargins left="0.7" right="0.7" top="0.75" bottom="0.75" header="0.3" footer="0.3"/>
    </customSheetView>
    <customSheetView guid="{996EC2F0-F6EC-4E63-A83E-34865157BD8D}" scale="80">
      <pane xSplit="6" ySplit="7" topLeftCell="G8" activePane="bottomRight" state="frozen"/>
      <selection pane="bottomRight" activeCell="T23" sqref="T23"/>
      <pageMargins left="0.7" right="0.7" top="0.75" bottom="0.75" header="0.3" footer="0.3"/>
    </customSheetView>
    <customSheetView guid="{AB9978E4-895D-4050-8F07-2484E22632D1}" scale="80">
      <pane xSplit="6" ySplit="7" topLeftCell="G8" activePane="bottomRight" state="frozen"/>
      <selection pane="bottomRight" activeCell="T23" sqref="T23"/>
      <pageMargins left="0.7" right="0.7" top="0.75" bottom="0.75" header="0.3" footer="0.3"/>
    </customSheetView>
    <customSheetView guid="{21E1D423-7B38-4272-8354-09B4DB62C9EB}" scale="80">
      <pane xSplit="6" ySplit="7" topLeftCell="G8" activePane="bottomRight" state="frozen"/>
      <selection pane="bottomRight" activeCell="T23" sqref="T23"/>
      <pageMargins left="0.7" right="0.7" top="0.75" bottom="0.75" header="0.3" footer="0.3"/>
    </customSheetView>
    <customSheetView guid="{2940A182-D1A7-43C5-8D6E-965BED4371B0}" scale="80">
      <pane xSplit="6" ySplit="7" topLeftCell="G8" activePane="bottomRight" state="frozen"/>
      <selection pane="bottomRight" activeCell="T23" sqref="T23"/>
      <pageMargins left="0.7" right="0.7" top="0.75" bottom="0.75" header="0.3" footer="0.3"/>
    </customSheetView>
    <customSheetView guid="{A0E2FBF6-E560-4343-8BE6-217DC798135B}" scale="80">
      <pane xSplit="6" ySplit="7" topLeftCell="G8" activePane="bottomRight" state="frozen"/>
      <selection pane="bottomRight" activeCell="F6" sqref="F6"/>
      <pageMargins left="0.7" right="0.7" top="0.75" bottom="0.75" header="0.3" footer="0.3"/>
    </customSheetView>
    <customSheetView guid="{BBF6B43F-E0FC-43DF-B91C-674F6AB4B556}" scale="80">
      <pane xSplit="6" ySplit="7" topLeftCell="G8" activePane="bottomRight" state="frozen"/>
      <selection pane="bottomRight" activeCell="T23" sqref="T23"/>
      <pageMargins left="0.7" right="0.7" top="0.75" bottom="0.75" header="0.3" footer="0.3"/>
    </customSheetView>
    <customSheetView guid="{C68436F4-AFB3-4D1D-A7C4-56D0C677D68E}" scale="80">
      <pane xSplit="6" ySplit="7" topLeftCell="G8" activePane="bottomRight" state="frozen"/>
      <selection pane="bottomRight" activeCell="T23" sqref="T23"/>
      <pageMargins left="0.7" right="0.7" top="0.75" bottom="0.75" header="0.3" footer="0.3"/>
    </customSheetView>
    <customSheetView guid="{DAEDC989-02E7-4319-8354-59410ACF3F1F}" scale="80">
      <pane xSplit="6" ySplit="7" topLeftCell="G8" activePane="bottomRight" state="frozen"/>
      <selection pane="bottomRight" activeCell="T23" sqref="T23"/>
      <pageMargins left="0.7" right="0.7" top="0.75" bottom="0.75" header="0.3" footer="0.3"/>
    </customSheetView>
    <customSheetView guid="{519948E4-0B24-465F-9D9E-44BE50D1D647}" scale="80">
      <pane xSplit="6" ySplit="7" topLeftCell="G8" activePane="bottomRight" state="frozen"/>
      <selection pane="bottomRight" activeCell="T23" sqref="T23"/>
      <pageMargins left="0.7" right="0.7" top="0.75" bottom="0.75" header="0.3" footer="0.3"/>
    </customSheetView>
    <customSheetView guid="{C7DC638A-7F60-46C9-A1FB-9ADEAE87F332}" scale="80">
      <pane xSplit="6" ySplit="7" topLeftCell="G8" activePane="bottomRight" state="frozen"/>
      <selection pane="bottomRight" activeCell="T23" sqref="T23"/>
      <pageMargins left="0.7" right="0.7" top="0.75" bottom="0.75" header="0.3" footer="0.3"/>
    </customSheetView>
    <customSheetView guid="{C01DC081-B312-4391-B775-A8CE76216D71}" scale="80">
      <pane xSplit="6" ySplit="7" topLeftCell="G8" activePane="bottomRight" state="frozen"/>
      <selection pane="bottomRight" activeCell="T23" sqref="T23"/>
      <pageMargins left="0.7" right="0.7" top="0.75" bottom="0.75" header="0.3" footer="0.3"/>
    </customSheetView>
    <customSheetView guid="{562453CE-35F5-40A3-AD14-6399D1197C99}" scale="80">
      <pane xSplit="6" ySplit="7" topLeftCell="G8" activePane="bottomRight" state="frozen"/>
      <selection pane="bottomRight" activeCell="T23" sqref="T23"/>
      <pageMargins left="0.7" right="0.7" top="0.75" bottom="0.75" header="0.3" footer="0.3"/>
    </customSheetView>
    <customSheetView guid="{A7640BE7-6438-4196-9A67-AF5B992A1E70}" scale="80">
      <pane xSplit="6" ySplit="7" topLeftCell="G8" activePane="bottomRight" state="frozen"/>
      <selection pane="bottomRight" activeCell="T23" sqref="T23"/>
      <pageMargins left="0.7" right="0.7" top="0.75" bottom="0.75" header="0.3" footer="0.3"/>
    </customSheetView>
    <customSheetView guid="{30B635D9-57DB-47D5-8A0F-4B30DD769960}" scale="80">
      <pane xSplit="6" ySplit="7" topLeftCell="G8" activePane="bottomRight" state="frozen"/>
      <selection pane="bottomRight" activeCell="T23" sqref="T23"/>
      <pageMargins left="0.7" right="0.7" top="0.75" bottom="0.75" header="0.3" footer="0.3"/>
    </customSheetView>
    <customSheetView guid="{20A05A62-CBE8-4538-BBC3-2AD9D3B8FAC0}" scale="80">
      <pane xSplit="6" ySplit="7" topLeftCell="G8" activePane="bottomRight" state="frozen"/>
      <selection pane="bottomRight" activeCell="T23" sqref="T23"/>
      <pageMargins left="0.7" right="0.7" top="0.75" bottom="0.75" header="0.3" footer="0.3"/>
    </customSheetView>
    <customSheetView guid="{C282AA4E-1BB5-4296-9AC6-844C0F88E5FC}" scale="80">
      <pane xSplit="6" ySplit="7" topLeftCell="G8" activePane="bottomRight" state="frozen"/>
      <selection pane="bottomRight" activeCell="T23" sqref="T23"/>
      <pageMargins left="0.7" right="0.7" top="0.75" bottom="0.75" header="0.3" footer="0.3"/>
    </customSheetView>
    <customSheetView guid="{4E221C17-6DAB-4FFA-B18C-35D4D85AF6E8}" scale="80">
      <pane xSplit="6" ySplit="7" topLeftCell="S8" activePane="bottomRight" state="frozen"/>
      <selection pane="bottomRight" activeCell="T23" sqref="T23"/>
      <pageMargins left="0.7" right="0.7" top="0.75" bottom="0.75" header="0.3" footer="0.3"/>
    </customSheetView>
    <customSheetView guid="{AFADB96A-0516-43C1-9F1B-0604F3CAC04A}" scale="80">
      <pane xSplit="6" ySplit="7" topLeftCell="G8" activePane="bottomRight" state="frozen"/>
      <selection pane="bottomRight" activeCell="T23" sqref="T23"/>
      <pageMargins left="0.7" right="0.7" top="0.75" bottom="0.75" header="0.3" footer="0.3"/>
    </customSheetView>
    <customSheetView guid="{F528EF6A-C113-49B5-B25F-D660F898CBFB}" scale="80">
      <pane xSplit="6" ySplit="7" topLeftCell="G8" activePane="bottomRight" state="frozen"/>
      <selection pane="bottomRight" activeCell="E16" sqref="E16"/>
      <pageMargins left="0.7" right="0.7" top="0.75" bottom="0.75" header="0.3" footer="0.3"/>
    </customSheetView>
    <customSheetView guid="{B6B60ED6-A6CC-4DA7-A8CA-5E6DB52D5A87}" scale="80">
      <pane xSplit="6" ySplit="7" topLeftCell="G8" activePane="bottomRight" state="frozen"/>
      <selection pane="bottomRight" activeCell="T23" sqref="T23"/>
      <pageMargins left="0.7" right="0.7" top="0.75" bottom="0.75" header="0.3" footer="0.3"/>
    </customSheetView>
    <customSheetView guid="{A4AF2100-C59D-4F60-9EAB-56D9103463F7}" scale="80">
      <pane xSplit="6" ySplit="7" topLeftCell="G8" activePane="bottomRight" state="frozen"/>
      <selection pane="bottomRight" activeCell="T23" sqref="T23"/>
      <pageMargins left="0.7" right="0.7" top="0.75" bottom="0.75" header="0.3" footer="0.3"/>
    </customSheetView>
    <customSheetView guid="{EA46B61D-849C-4795-A4FF-F8F1740022EB}" scale="80">
      <pane xSplit="6" ySplit="7" topLeftCell="G8" activePane="bottomRight" state="frozen"/>
      <selection pane="bottomRight" activeCell="T23" sqref="T23"/>
      <pageMargins left="0.7" right="0.7" top="0.75" bottom="0.75" header="0.3" footer="0.3"/>
    </customSheetView>
    <customSheetView guid="{B686A221-D885-4536-BEAC-E7F4BBC02150}" scale="80">
      <pane xSplit="6" ySplit="7" topLeftCell="G8" activePane="bottomRight" state="frozen"/>
      <selection pane="bottomRight" activeCell="T23" sqref="T23"/>
      <pageMargins left="0.7" right="0.7" top="0.75" bottom="0.75" header="0.3" footer="0.3"/>
    </customSheetView>
    <customSheetView guid="{60A1F930-4BEC-460A-8E14-01E47F6DD055}" scale="80">
      <pane xSplit="6" ySplit="4" topLeftCell="G23" activePane="bottomRight" state="frozen"/>
      <selection pane="bottomRight" activeCell="T23" sqref="T23"/>
      <pageMargins left="0.7" right="0.7" top="0.75" bottom="0.75" header="0.3" footer="0.3"/>
    </customSheetView>
    <customSheetView guid="{5DF2C78B-5EE4-439D-8D72-8D3A913B65F9}" scale="80">
      <pane xSplit="6" ySplit="7" topLeftCell="G8" activePane="bottomRight" state="frozen"/>
      <selection pane="bottomRight" activeCell="T23" sqref="T23"/>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58"/>
  <sheetViews>
    <sheetView zoomScale="80" zoomScaleNormal="80" workbookViewId="0">
      <pane xSplit="6" ySplit="7" topLeftCell="G16" activePane="bottomRight" state="frozen"/>
      <selection pane="topRight" activeCell="G1" sqref="G1"/>
      <selection pane="bottomLeft" activeCell="A8" sqref="A8"/>
      <selection pane="bottomRight" activeCell="F6" sqref="F6"/>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B1" s="8"/>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92"/>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36.75" customHeight="1" x14ac:dyDescent="0.25">
      <c r="A3" s="55"/>
      <c r="B3" s="92"/>
      <c r="C3" s="513" t="s">
        <v>110</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39">
        <v>45931</v>
      </c>
      <c r="F6" s="39">
        <v>45931</v>
      </c>
      <c r="G6" s="39">
        <v>45931</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15.75" x14ac:dyDescent="0.25">
      <c r="A8" s="620"/>
      <c r="B8" s="623" t="s">
        <v>23</v>
      </c>
      <c r="C8" s="275" t="s">
        <v>20</v>
      </c>
      <c r="D8" s="276">
        <f>D9+D10+D11</f>
        <v>239122.326</v>
      </c>
      <c r="E8" s="276">
        <f t="shared" ref="E8:G8" si="0">E9+E10+E11</f>
        <v>167676.56899999999</v>
      </c>
      <c r="F8" s="276">
        <f t="shared" si="0"/>
        <v>152995.15600000002</v>
      </c>
      <c r="G8" s="276">
        <f t="shared" si="0"/>
        <v>152995.15600000002</v>
      </c>
      <c r="H8" s="276">
        <f>IFERROR(G8/D8*100,0)</f>
        <v>63.981962102526559</v>
      </c>
      <c r="I8" s="276">
        <f>IFERROR(G8/E8*100,0)</f>
        <v>91.244207173633214</v>
      </c>
      <c r="J8" s="277">
        <f>J9+J10+J11</f>
        <v>11099.454</v>
      </c>
      <c r="K8" s="277">
        <f t="shared" ref="K8:AG8" si="1">K9+K10+K11</f>
        <v>8031.0300000000007</v>
      </c>
      <c r="L8" s="277">
        <f t="shared" si="1"/>
        <v>22542.92</v>
      </c>
      <c r="M8" s="277">
        <f t="shared" si="1"/>
        <v>22853.97</v>
      </c>
      <c r="N8" s="277">
        <f t="shared" si="1"/>
        <v>7164.6900000000005</v>
      </c>
      <c r="O8" s="277">
        <f t="shared" si="1"/>
        <v>7154.33</v>
      </c>
      <c r="P8" s="277">
        <f t="shared" si="1"/>
        <v>19346.050999999999</v>
      </c>
      <c r="Q8" s="277">
        <f t="shared" si="1"/>
        <v>10861.25</v>
      </c>
      <c r="R8" s="277">
        <f t="shared" si="1"/>
        <v>8404.8539999999994</v>
      </c>
      <c r="S8" s="277">
        <f t="shared" si="1"/>
        <v>7694.33</v>
      </c>
      <c r="T8" s="277">
        <f t="shared" si="1"/>
        <v>14902.3</v>
      </c>
      <c r="U8" s="277">
        <f t="shared" si="1"/>
        <v>13635.006000000001</v>
      </c>
      <c r="V8" s="277">
        <f t="shared" si="1"/>
        <v>51243.245999999999</v>
      </c>
      <c r="W8" s="277">
        <f t="shared" si="1"/>
        <v>46126.99</v>
      </c>
      <c r="X8" s="277">
        <f t="shared" si="1"/>
        <v>21012.974000000002</v>
      </c>
      <c r="Y8" s="277">
        <f t="shared" si="1"/>
        <v>14147.14</v>
      </c>
      <c r="Z8" s="277">
        <f t="shared" si="1"/>
        <v>11960.080000000002</v>
      </c>
      <c r="AA8" s="277">
        <f t="shared" si="1"/>
        <v>22491.11</v>
      </c>
      <c r="AB8" s="277">
        <f t="shared" si="1"/>
        <v>22130.767</v>
      </c>
      <c r="AC8" s="277">
        <f t="shared" si="1"/>
        <v>0</v>
      </c>
      <c r="AD8" s="277">
        <f t="shared" si="1"/>
        <v>8157.74</v>
      </c>
      <c r="AE8" s="277">
        <f t="shared" si="1"/>
        <v>0</v>
      </c>
      <c r="AF8" s="277">
        <f t="shared" si="1"/>
        <v>41157.25</v>
      </c>
      <c r="AG8" s="277">
        <f t="shared" si="1"/>
        <v>0</v>
      </c>
      <c r="AH8" s="533"/>
    </row>
    <row r="9" spans="1:35" s="26" customFormat="1" ht="31.5" x14ac:dyDescent="0.25">
      <c r="A9" s="621"/>
      <c r="B9" s="624"/>
      <c r="C9" s="73" t="s">
        <v>52</v>
      </c>
      <c r="D9" s="74">
        <f>J9+L9+N9+P9+R9+T9+V9+X9+Z9+AB9+AD9+AF9</f>
        <v>9051.3100000000013</v>
      </c>
      <c r="E9" s="74">
        <f>J9+L9+N9+P9+R9+T9+V9+X9+Z9</f>
        <v>409.94</v>
      </c>
      <c r="F9" s="74">
        <f>G9</f>
        <v>409.94</v>
      </c>
      <c r="G9" s="74">
        <f>K9+M9+O9+Q9+S9+U9+W9+Y9+AA9+AC9+AE9+AG9</f>
        <v>409.94</v>
      </c>
      <c r="H9" s="74">
        <f t="shared" ref="H9" si="2">IFERROR(G9/D9*100,0)</f>
        <v>4.5290681680331346</v>
      </c>
      <c r="I9" s="74">
        <f t="shared" ref="I9" si="3">IFERROR(G9/E9*100,0)</f>
        <v>100</v>
      </c>
      <c r="J9" s="74">
        <f>J14+J35</f>
        <v>0</v>
      </c>
      <c r="K9" s="74">
        <f t="shared" ref="K9:AG9" si="4">K14+K35</f>
        <v>0</v>
      </c>
      <c r="L9" s="74">
        <f t="shared" si="4"/>
        <v>204.97</v>
      </c>
      <c r="M9" s="74">
        <f t="shared" si="4"/>
        <v>204.97</v>
      </c>
      <c r="N9" s="74">
        <f t="shared" si="4"/>
        <v>0</v>
      </c>
      <c r="O9" s="74">
        <f t="shared" si="4"/>
        <v>0</v>
      </c>
      <c r="P9" s="74">
        <f t="shared" si="4"/>
        <v>0</v>
      </c>
      <c r="Q9" s="74">
        <f t="shared" si="4"/>
        <v>0</v>
      </c>
      <c r="R9" s="74">
        <f t="shared" si="4"/>
        <v>0</v>
      </c>
      <c r="S9" s="74">
        <f t="shared" si="4"/>
        <v>0</v>
      </c>
      <c r="T9" s="74">
        <f t="shared" si="4"/>
        <v>204.97</v>
      </c>
      <c r="U9" s="74">
        <f t="shared" si="4"/>
        <v>204.97</v>
      </c>
      <c r="V9" s="74">
        <f t="shared" si="4"/>
        <v>0</v>
      </c>
      <c r="W9" s="74">
        <f t="shared" si="4"/>
        <v>0</v>
      </c>
      <c r="X9" s="74">
        <f t="shared" si="4"/>
        <v>0</v>
      </c>
      <c r="Y9" s="74">
        <f t="shared" si="4"/>
        <v>0</v>
      </c>
      <c r="Z9" s="74">
        <f t="shared" si="4"/>
        <v>0</v>
      </c>
      <c r="AA9" s="74">
        <f t="shared" si="4"/>
        <v>0</v>
      </c>
      <c r="AB9" s="74">
        <f t="shared" si="4"/>
        <v>0</v>
      </c>
      <c r="AC9" s="74">
        <f t="shared" si="4"/>
        <v>0</v>
      </c>
      <c r="AD9" s="74">
        <f t="shared" si="4"/>
        <v>0</v>
      </c>
      <c r="AE9" s="74">
        <f t="shared" si="4"/>
        <v>0</v>
      </c>
      <c r="AF9" s="74">
        <f t="shared" si="4"/>
        <v>8641.3700000000008</v>
      </c>
      <c r="AG9" s="74">
        <f t="shared" si="4"/>
        <v>0</v>
      </c>
      <c r="AH9" s="534"/>
    </row>
    <row r="10" spans="1:35" s="26" customFormat="1" ht="47.25" x14ac:dyDescent="0.25">
      <c r="A10" s="621"/>
      <c r="B10" s="624"/>
      <c r="C10" s="73" t="s">
        <v>22</v>
      </c>
      <c r="D10" s="74">
        <f t="shared" ref="D10:D11" si="5">J10+L10+N10+P10+R10+T10+V10+X10+Z10+AB10+AD10+AF10</f>
        <v>95868.51999999999</v>
      </c>
      <c r="E10" s="74">
        <f t="shared" ref="E10:E11" si="6">J10+L10+N10+P10+R10+T10+V10+X10+Z10</f>
        <v>66792.12</v>
      </c>
      <c r="F10" s="74">
        <f t="shared" ref="F10:F11" si="7">G10</f>
        <v>59795.64</v>
      </c>
      <c r="G10" s="74">
        <f t="shared" ref="G10:G11" si="8">K10+M10+O10+Q10+S10+U10+W10+Y10+AA10+AC10+AE10+AG10</f>
        <v>59795.64</v>
      </c>
      <c r="H10" s="74">
        <f>IFERROR(G10/D10*100,0)</f>
        <v>62.372549404121401</v>
      </c>
      <c r="I10" s="74">
        <f>IFERROR(G10/E10*100,0)</f>
        <v>89.524991870298479</v>
      </c>
      <c r="J10" s="74">
        <f>J15+J19+J36</f>
        <v>455</v>
      </c>
      <c r="K10" s="74">
        <f t="shared" ref="K10:AG10" si="9">K15+K19+K36</f>
        <v>0</v>
      </c>
      <c r="L10" s="74">
        <f t="shared" si="9"/>
        <v>3261.82</v>
      </c>
      <c r="M10" s="74">
        <f t="shared" si="9"/>
        <v>3716.82</v>
      </c>
      <c r="N10" s="74">
        <f t="shared" si="9"/>
        <v>2.1</v>
      </c>
      <c r="O10" s="74">
        <f t="shared" si="9"/>
        <v>2.1</v>
      </c>
      <c r="P10" s="74">
        <f t="shared" si="9"/>
        <v>8869</v>
      </c>
      <c r="Q10" s="74">
        <f t="shared" si="9"/>
        <v>1976.98</v>
      </c>
      <c r="R10" s="74">
        <f t="shared" si="9"/>
        <v>0</v>
      </c>
      <c r="S10" s="74">
        <f t="shared" si="9"/>
        <v>0</v>
      </c>
      <c r="T10" s="74">
        <f t="shared" si="9"/>
        <v>3261.82</v>
      </c>
      <c r="U10" s="74">
        <f t="shared" si="9"/>
        <v>3261.82</v>
      </c>
      <c r="V10" s="74">
        <f t="shared" si="9"/>
        <v>37359.17</v>
      </c>
      <c r="W10" s="74">
        <f t="shared" si="9"/>
        <v>33957.5</v>
      </c>
      <c r="X10" s="74">
        <f t="shared" si="9"/>
        <v>10474.41</v>
      </c>
      <c r="Y10" s="74">
        <f t="shared" si="9"/>
        <v>5858.33</v>
      </c>
      <c r="Z10" s="74">
        <f t="shared" si="9"/>
        <v>3108.8</v>
      </c>
      <c r="AA10" s="74">
        <f t="shared" si="9"/>
        <v>11022.09</v>
      </c>
      <c r="AB10" s="74">
        <f t="shared" si="9"/>
        <v>10515.19</v>
      </c>
      <c r="AC10" s="74">
        <f t="shared" si="9"/>
        <v>0</v>
      </c>
      <c r="AD10" s="74">
        <f t="shared" si="9"/>
        <v>0</v>
      </c>
      <c r="AE10" s="74">
        <f t="shared" si="9"/>
        <v>0</v>
      </c>
      <c r="AF10" s="74">
        <f t="shared" si="9"/>
        <v>18561.21</v>
      </c>
      <c r="AG10" s="74">
        <f t="shared" si="9"/>
        <v>0</v>
      </c>
      <c r="AH10" s="534"/>
    </row>
    <row r="11" spans="1:35" s="26" customFormat="1" ht="31.5" x14ac:dyDescent="0.25">
      <c r="A11" s="622"/>
      <c r="B11" s="625"/>
      <c r="C11" s="73" t="s">
        <v>21</v>
      </c>
      <c r="D11" s="74">
        <f t="shared" si="5"/>
        <v>134202.49600000001</v>
      </c>
      <c r="E11" s="74">
        <f t="shared" si="6"/>
        <v>100474.50899999999</v>
      </c>
      <c r="F11" s="74">
        <f t="shared" si="7"/>
        <v>92789.576000000015</v>
      </c>
      <c r="G11" s="74">
        <f t="shared" si="8"/>
        <v>92789.576000000015</v>
      </c>
      <c r="H11" s="74">
        <f>IFERROR(G11/D11*100,0)</f>
        <v>69.141468128878913</v>
      </c>
      <c r="I11" s="74">
        <f>IFERROR(G11/E11*100,0)</f>
        <v>92.351360482886278</v>
      </c>
      <c r="J11" s="74">
        <f>J16+J20+J50+J56+J44</f>
        <v>10644.454</v>
      </c>
      <c r="K11" s="74">
        <f t="shared" ref="K11:AG11" si="10">K16+K20+K50+K56+K44</f>
        <v>8031.0300000000007</v>
      </c>
      <c r="L11" s="74">
        <f t="shared" si="10"/>
        <v>19076.129999999997</v>
      </c>
      <c r="M11" s="74">
        <f t="shared" si="10"/>
        <v>18932.18</v>
      </c>
      <c r="N11" s="74">
        <f t="shared" si="10"/>
        <v>7162.59</v>
      </c>
      <c r="O11" s="74">
        <f t="shared" si="10"/>
        <v>7152.23</v>
      </c>
      <c r="P11" s="74">
        <f t="shared" si="10"/>
        <v>10477.050999999999</v>
      </c>
      <c r="Q11" s="74">
        <f t="shared" si="10"/>
        <v>8884.27</v>
      </c>
      <c r="R11" s="74">
        <f t="shared" si="10"/>
        <v>8404.8539999999994</v>
      </c>
      <c r="S11" s="74">
        <f t="shared" si="10"/>
        <v>7694.33</v>
      </c>
      <c r="T11" s="74">
        <f t="shared" si="10"/>
        <v>11435.51</v>
      </c>
      <c r="U11" s="74">
        <f t="shared" si="10"/>
        <v>10168.216</v>
      </c>
      <c r="V11" s="74">
        <f t="shared" si="10"/>
        <v>13884.076000000001</v>
      </c>
      <c r="W11" s="74">
        <f t="shared" si="10"/>
        <v>12169.49</v>
      </c>
      <c r="X11" s="74">
        <f t="shared" si="10"/>
        <v>10538.564</v>
      </c>
      <c r="Y11" s="74">
        <f t="shared" si="10"/>
        <v>8288.81</v>
      </c>
      <c r="Z11" s="74">
        <f t="shared" si="10"/>
        <v>8851.2800000000007</v>
      </c>
      <c r="AA11" s="74">
        <f t="shared" si="10"/>
        <v>11469.02</v>
      </c>
      <c r="AB11" s="74">
        <f t="shared" si="10"/>
        <v>11615.576999999999</v>
      </c>
      <c r="AC11" s="74">
        <f t="shared" si="10"/>
        <v>0</v>
      </c>
      <c r="AD11" s="74">
        <f t="shared" si="10"/>
        <v>8157.74</v>
      </c>
      <c r="AE11" s="74">
        <f t="shared" si="10"/>
        <v>0</v>
      </c>
      <c r="AF11" s="74">
        <f t="shared" si="10"/>
        <v>13954.670000000002</v>
      </c>
      <c r="AG11" s="74">
        <f t="shared" si="10"/>
        <v>0</v>
      </c>
      <c r="AH11" s="535"/>
    </row>
    <row r="12" spans="1:35" s="18" customFormat="1" ht="18.75" customHeight="1" x14ac:dyDescent="0.25">
      <c r="A12" s="68"/>
      <c r="B12" s="536" t="s">
        <v>57</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8"/>
      <c r="AH12" s="46"/>
    </row>
    <row r="13" spans="1:35" s="21" customFormat="1" ht="15.75" x14ac:dyDescent="0.25">
      <c r="A13" s="588" t="s">
        <v>50</v>
      </c>
      <c r="B13" s="591" t="s">
        <v>58</v>
      </c>
      <c r="C13" s="81" t="s">
        <v>20</v>
      </c>
      <c r="D13" s="82">
        <f>D15+D16+D14</f>
        <v>8971.39</v>
      </c>
      <c r="E13" s="82">
        <f t="shared" ref="E13:AG13" si="11">E15+E16+E14</f>
        <v>7298.54</v>
      </c>
      <c r="F13" s="82">
        <f t="shared" si="11"/>
        <v>7298.54</v>
      </c>
      <c r="G13" s="82">
        <f t="shared" si="11"/>
        <v>7298.54</v>
      </c>
      <c r="H13" s="82">
        <f t="shared" ref="H13:H36" si="12">IFERROR(G13/D13*100,0)</f>
        <v>81.353502634485849</v>
      </c>
      <c r="I13" s="82">
        <f t="shared" ref="I13:I36" si="13">IFERROR(G13/E13*100,0)</f>
        <v>100</v>
      </c>
      <c r="J13" s="82">
        <f t="shared" si="11"/>
        <v>0</v>
      </c>
      <c r="K13" s="82">
        <f t="shared" si="11"/>
        <v>0</v>
      </c>
      <c r="L13" s="82">
        <f t="shared" si="11"/>
        <v>3649.27</v>
      </c>
      <c r="M13" s="82">
        <f t="shared" si="11"/>
        <v>3649.27</v>
      </c>
      <c r="N13" s="82">
        <f t="shared" si="11"/>
        <v>0</v>
      </c>
      <c r="O13" s="82">
        <f t="shared" si="11"/>
        <v>0</v>
      </c>
      <c r="P13" s="82">
        <f t="shared" si="11"/>
        <v>0</v>
      </c>
      <c r="Q13" s="82">
        <f t="shared" si="11"/>
        <v>0</v>
      </c>
      <c r="R13" s="82">
        <f t="shared" si="11"/>
        <v>0</v>
      </c>
      <c r="S13" s="82">
        <f t="shared" si="11"/>
        <v>0</v>
      </c>
      <c r="T13" s="82">
        <f t="shared" si="11"/>
        <v>3649.27</v>
      </c>
      <c r="U13" s="82">
        <f t="shared" si="11"/>
        <v>3649.27</v>
      </c>
      <c r="V13" s="82">
        <f t="shared" si="11"/>
        <v>0</v>
      </c>
      <c r="W13" s="82">
        <f t="shared" si="11"/>
        <v>0</v>
      </c>
      <c r="X13" s="82">
        <f t="shared" si="11"/>
        <v>0</v>
      </c>
      <c r="Y13" s="82">
        <f t="shared" si="11"/>
        <v>0</v>
      </c>
      <c r="Z13" s="82">
        <f t="shared" si="11"/>
        <v>0</v>
      </c>
      <c r="AA13" s="82">
        <f t="shared" si="11"/>
        <v>0</v>
      </c>
      <c r="AB13" s="82">
        <f t="shared" si="11"/>
        <v>0</v>
      </c>
      <c r="AC13" s="82">
        <f t="shared" si="11"/>
        <v>0</v>
      </c>
      <c r="AD13" s="82">
        <f t="shared" si="11"/>
        <v>0</v>
      </c>
      <c r="AE13" s="82">
        <f t="shared" si="11"/>
        <v>0</v>
      </c>
      <c r="AF13" s="82">
        <f t="shared" si="11"/>
        <v>1672.8500000000001</v>
      </c>
      <c r="AG13" s="82">
        <f t="shared" si="11"/>
        <v>0</v>
      </c>
      <c r="AH13" s="542" t="s">
        <v>418</v>
      </c>
      <c r="AI13" s="23"/>
    </row>
    <row r="14" spans="1:35" s="21" customFormat="1" ht="31.5" x14ac:dyDescent="0.25">
      <c r="A14" s="589"/>
      <c r="B14" s="592"/>
      <c r="C14" s="61" t="s">
        <v>52</v>
      </c>
      <c r="D14" s="62">
        <f>SUM(J14,L14,N14,P14,R14,T14,V14,X14,Z14,AB14,AD14,AF14)</f>
        <v>503.89</v>
      </c>
      <c r="E14" s="62">
        <f>J14+L14+N14+P14+R14+T14+V14+X14+Z14</f>
        <v>409.94</v>
      </c>
      <c r="F14" s="62">
        <f>G14</f>
        <v>409.94</v>
      </c>
      <c r="G14" s="62">
        <f>SUM(K14,M14,O14,Q14,S14,U14,W14,Y14,AA14,AC14,AE14,AG14)</f>
        <v>409.94</v>
      </c>
      <c r="H14" s="62">
        <f t="shared" si="12"/>
        <v>81.355057651471554</v>
      </c>
      <c r="I14" s="62">
        <f t="shared" si="13"/>
        <v>100</v>
      </c>
      <c r="J14" s="62">
        <v>0</v>
      </c>
      <c r="K14" s="62">
        <v>0</v>
      </c>
      <c r="L14" s="62">
        <v>204.97</v>
      </c>
      <c r="M14" s="62">
        <v>204.97</v>
      </c>
      <c r="N14" s="62">
        <v>0</v>
      </c>
      <c r="O14" s="62">
        <v>0</v>
      </c>
      <c r="P14" s="62">
        <v>0</v>
      </c>
      <c r="Q14" s="62">
        <v>0</v>
      </c>
      <c r="R14" s="62">
        <v>0</v>
      </c>
      <c r="S14" s="62">
        <v>0</v>
      </c>
      <c r="T14" s="62">
        <v>204.97</v>
      </c>
      <c r="U14" s="62">
        <v>204.97</v>
      </c>
      <c r="V14" s="62">
        <v>0</v>
      </c>
      <c r="W14" s="62">
        <v>0</v>
      </c>
      <c r="X14" s="62">
        <v>0</v>
      </c>
      <c r="Y14" s="62">
        <v>0</v>
      </c>
      <c r="Z14" s="62">
        <v>0</v>
      </c>
      <c r="AA14" s="62">
        <v>0</v>
      </c>
      <c r="AB14" s="62">
        <v>0</v>
      </c>
      <c r="AC14" s="62">
        <v>0</v>
      </c>
      <c r="AD14" s="62">
        <v>0</v>
      </c>
      <c r="AE14" s="62">
        <v>0</v>
      </c>
      <c r="AF14" s="62">
        <v>93.95</v>
      </c>
      <c r="AG14" s="62">
        <v>0</v>
      </c>
      <c r="AH14" s="543"/>
      <c r="AI14" s="23"/>
    </row>
    <row r="15" spans="1:35" s="21" customFormat="1" ht="47.25" x14ac:dyDescent="0.25">
      <c r="A15" s="589"/>
      <c r="B15" s="592"/>
      <c r="C15" s="61" t="s">
        <v>22</v>
      </c>
      <c r="D15" s="62">
        <f>SUM(J15,L15,N15,P15,R15,T15,V15,X15,Z15,AB15,AD15,AF15)</f>
        <v>8018.89</v>
      </c>
      <c r="E15" s="62">
        <f t="shared" ref="E15:E16" si="14">J15+L15+N15+P15+R15+T15+V15+X15+Z15</f>
        <v>6523.64</v>
      </c>
      <c r="F15" s="62">
        <f>G15</f>
        <v>6523.64</v>
      </c>
      <c r="G15" s="62">
        <f>SUM(K15,M15,O15,Q15,S15,U15,W15,Y15,AA15,AC15,AE15,AG15)</f>
        <v>6523.64</v>
      </c>
      <c r="H15" s="62">
        <f t="shared" si="12"/>
        <v>81.353404274157654</v>
      </c>
      <c r="I15" s="62">
        <f t="shared" si="13"/>
        <v>100</v>
      </c>
      <c r="J15" s="63">
        <v>0</v>
      </c>
      <c r="K15" s="63">
        <v>0</v>
      </c>
      <c r="L15" s="63">
        <v>3261.82</v>
      </c>
      <c r="M15" s="63">
        <v>3261.82</v>
      </c>
      <c r="N15" s="63">
        <v>0</v>
      </c>
      <c r="O15" s="63">
        <v>0</v>
      </c>
      <c r="P15" s="63">
        <v>0</v>
      </c>
      <c r="Q15" s="63">
        <v>0</v>
      </c>
      <c r="R15" s="63">
        <v>0</v>
      </c>
      <c r="S15" s="63">
        <v>0</v>
      </c>
      <c r="T15" s="63">
        <v>3261.82</v>
      </c>
      <c r="U15" s="63">
        <v>3261.82</v>
      </c>
      <c r="V15" s="63">
        <v>0</v>
      </c>
      <c r="W15" s="63">
        <v>0</v>
      </c>
      <c r="X15" s="63">
        <v>0</v>
      </c>
      <c r="Y15" s="63">
        <v>0</v>
      </c>
      <c r="Z15" s="63">
        <v>0</v>
      </c>
      <c r="AA15" s="63">
        <v>0</v>
      </c>
      <c r="AB15" s="63">
        <v>0</v>
      </c>
      <c r="AC15" s="63">
        <v>0</v>
      </c>
      <c r="AD15" s="63">
        <v>0</v>
      </c>
      <c r="AE15" s="63">
        <v>0</v>
      </c>
      <c r="AF15" s="63">
        <v>1495.25</v>
      </c>
      <c r="AG15" s="63">
        <v>0</v>
      </c>
      <c r="AH15" s="543"/>
      <c r="AI15" s="23"/>
    </row>
    <row r="16" spans="1:35" s="22" customFormat="1" ht="31.5" x14ac:dyDescent="0.25">
      <c r="A16" s="590"/>
      <c r="B16" s="593"/>
      <c r="C16" s="61" t="s">
        <v>21</v>
      </c>
      <c r="D16" s="62">
        <f>SUM(J16,L16,N16,P16,R16,T16,V16,X16,Z16,AB16,AD16,AF16)</f>
        <v>448.61</v>
      </c>
      <c r="E16" s="62">
        <f t="shared" si="14"/>
        <v>364.96</v>
      </c>
      <c r="F16" s="62">
        <f>G16</f>
        <v>364.96</v>
      </c>
      <c r="G16" s="62">
        <f>SUM(K16,M16,O16,Q16,S16,U16,W16,Y16,AA16,AC16,AE16,AG16)</f>
        <v>364.96</v>
      </c>
      <c r="H16" s="62">
        <f t="shared" si="12"/>
        <v>81.353514188270424</v>
      </c>
      <c r="I16" s="62">
        <f t="shared" si="13"/>
        <v>100</v>
      </c>
      <c r="J16" s="67">
        <v>0</v>
      </c>
      <c r="K16" s="67">
        <v>0</v>
      </c>
      <c r="L16" s="67">
        <v>182.48</v>
      </c>
      <c r="M16" s="67">
        <v>182.48</v>
      </c>
      <c r="N16" s="67">
        <v>0</v>
      </c>
      <c r="O16" s="67">
        <v>0</v>
      </c>
      <c r="P16" s="67">
        <v>0</v>
      </c>
      <c r="Q16" s="67">
        <v>0</v>
      </c>
      <c r="R16" s="67">
        <v>0</v>
      </c>
      <c r="S16" s="67">
        <v>0</v>
      </c>
      <c r="T16" s="67">
        <v>182.48</v>
      </c>
      <c r="U16" s="67">
        <v>182.48</v>
      </c>
      <c r="V16" s="67">
        <v>0</v>
      </c>
      <c r="W16" s="67">
        <v>0</v>
      </c>
      <c r="X16" s="67">
        <v>0</v>
      </c>
      <c r="Y16" s="67">
        <v>0</v>
      </c>
      <c r="Z16" s="67">
        <v>0</v>
      </c>
      <c r="AA16" s="67">
        <v>0</v>
      </c>
      <c r="AB16" s="67">
        <v>0</v>
      </c>
      <c r="AC16" s="67">
        <v>0</v>
      </c>
      <c r="AD16" s="67">
        <v>0</v>
      </c>
      <c r="AE16" s="67">
        <v>0</v>
      </c>
      <c r="AF16" s="67">
        <v>83.65</v>
      </c>
      <c r="AG16" s="67">
        <v>0</v>
      </c>
      <c r="AH16" s="544"/>
      <c r="AI16" s="20"/>
    </row>
    <row r="17" spans="1:35" s="22" customFormat="1" ht="23.25" customHeight="1" x14ac:dyDescent="0.25">
      <c r="A17" s="88"/>
      <c r="B17" s="536" t="s">
        <v>66</v>
      </c>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8"/>
      <c r="AH17" s="64"/>
      <c r="AI17" s="20"/>
    </row>
    <row r="18" spans="1:35" s="22" customFormat="1" ht="28.5" customHeight="1" x14ac:dyDescent="0.25">
      <c r="A18" s="615" t="s">
        <v>38</v>
      </c>
      <c r="B18" s="591" t="s">
        <v>59</v>
      </c>
      <c r="C18" s="81" t="s">
        <v>20</v>
      </c>
      <c r="D18" s="82">
        <f>D20+D19</f>
        <v>106016.91</v>
      </c>
      <c r="E18" s="82">
        <f t="shared" ref="E18:G18" si="15">E20+E19</f>
        <v>74267.89</v>
      </c>
      <c r="F18" s="82">
        <f t="shared" si="15"/>
        <v>66579.360000000015</v>
      </c>
      <c r="G18" s="82">
        <f t="shared" si="15"/>
        <v>66579.360000000015</v>
      </c>
      <c r="H18" s="82">
        <f t="shared" si="12"/>
        <v>62.800698492344296</v>
      </c>
      <c r="I18" s="82">
        <f t="shared" si="13"/>
        <v>89.647571783714355</v>
      </c>
      <c r="J18" s="83">
        <f>J20+J19</f>
        <v>500</v>
      </c>
      <c r="K18" s="83">
        <f t="shared" ref="K18:AG18" si="16">K20+K19</f>
        <v>0</v>
      </c>
      <c r="L18" s="83">
        <f t="shared" si="16"/>
        <v>8041</v>
      </c>
      <c r="M18" s="83">
        <f t="shared" si="16"/>
        <v>8541</v>
      </c>
      <c r="N18" s="83">
        <f t="shared" si="16"/>
        <v>0</v>
      </c>
      <c r="O18" s="83">
        <f t="shared" si="16"/>
        <v>0</v>
      </c>
      <c r="P18" s="83">
        <f t="shared" si="16"/>
        <v>9746.2000000000007</v>
      </c>
      <c r="Q18" s="83">
        <f t="shared" si="16"/>
        <v>2172.5100000000002</v>
      </c>
      <c r="R18" s="83">
        <f t="shared" si="16"/>
        <v>0</v>
      </c>
      <c r="S18" s="83">
        <f t="shared" si="16"/>
        <v>0</v>
      </c>
      <c r="T18" s="83">
        <f t="shared" si="16"/>
        <v>1913.5</v>
      </c>
      <c r="U18" s="83">
        <f t="shared" si="16"/>
        <v>1577.01</v>
      </c>
      <c r="V18" s="83">
        <f t="shared" si="16"/>
        <v>39140.589999999997</v>
      </c>
      <c r="W18" s="83">
        <f t="shared" si="16"/>
        <v>36065.019999999997</v>
      </c>
      <c r="X18" s="83">
        <f t="shared" si="16"/>
        <v>11510.34</v>
      </c>
      <c r="Y18" s="83">
        <f t="shared" si="16"/>
        <v>6111.63</v>
      </c>
      <c r="Z18" s="83">
        <f t="shared" si="16"/>
        <v>3416.26</v>
      </c>
      <c r="AA18" s="83">
        <f t="shared" si="16"/>
        <v>12112.19</v>
      </c>
      <c r="AB18" s="83">
        <f t="shared" si="16"/>
        <v>12045.220000000001</v>
      </c>
      <c r="AC18" s="83">
        <f t="shared" si="16"/>
        <v>0</v>
      </c>
      <c r="AD18" s="83">
        <f t="shared" si="16"/>
        <v>0</v>
      </c>
      <c r="AE18" s="83">
        <f t="shared" si="16"/>
        <v>0</v>
      </c>
      <c r="AF18" s="83">
        <f t="shared" si="16"/>
        <v>19703.8</v>
      </c>
      <c r="AG18" s="83">
        <f t="shared" si="16"/>
        <v>0</v>
      </c>
      <c r="AH18" s="527"/>
      <c r="AI18" s="20"/>
    </row>
    <row r="19" spans="1:35" s="26" customFormat="1" ht="47.25" x14ac:dyDescent="0.25">
      <c r="A19" s="616"/>
      <c r="B19" s="592"/>
      <c r="C19" s="73" t="s">
        <v>22</v>
      </c>
      <c r="D19" s="74">
        <f>SUM(J19,L19,N19,P19,R19,T19,V19,X19,Z19,AB19,AD19,AF19)</f>
        <v>87847.53</v>
      </c>
      <c r="E19" s="74">
        <f>J19+L19+N19+P19+R19+T19+V19+X19+Z19</f>
        <v>60266.380000000005</v>
      </c>
      <c r="F19" s="74">
        <f>G19</f>
        <v>53269.900000000009</v>
      </c>
      <c r="G19" s="74">
        <f>SUM(K19,M19,O19,Q19,S19,U19,W19,Y19,AA19,AC19,AE19,AG19)</f>
        <v>53269.900000000009</v>
      </c>
      <c r="H19" s="74">
        <f>IFERROR(G19/D19*100,0)</f>
        <v>60.639041302584161</v>
      </c>
      <c r="I19" s="74">
        <f>IFERROR(G19/E19*100,0)</f>
        <v>88.390741239145285</v>
      </c>
      <c r="J19" s="67">
        <f>J22+J25+J28+J31</f>
        <v>455</v>
      </c>
      <c r="K19" s="67">
        <f t="shared" ref="K19:AG19" si="17">K22+K25+K28+K31</f>
        <v>0</v>
      </c>
      <c r="L19" s="67">
        <f t="shared" si="17"/>
        <v>0</v>
      </c>
      <c r="M19" s="67">
        <f t="shared" si="17"/>
        <v>455</v>
      </c>
      <c r="N19" s="67">
        <f t="shared" si="17"/>
        <v>0</v>
      </c>
      <c r="O19" s="67">
        <f t="shared" si="17"/>
        <v>0</v>
      </c>
      <c r="P19" s="67">
        <f t="shared" si="17"/>
        <v>8869</v>
      </c>
      <c r="Q19" s="67">
        <f t="shared" si="17"/>
        <v>1976.98</v>
      </c>
      <c r="R19" s="67">
        <f t="shared" si="17"/>
        <v>0</v>
      </c>
      <c r="S19" s="67">
        <f t="shared" si="17"/>
        <v>0</v>
      </c>
      <c r="T19" s="67">
        <f t="shared" si="17"/>
        <v>0</v>
      </c>
      <c r="U19" s="67">
        <f t="shared" si="17"/>
        <v>0</v>
      </c>
      <c r="V19" s="67">
        <f t="shared" si="17"/>
        <v>37359.17</v>
      </c>
      <c r="W19" s="67">
        <f t="shared" si="17"/>
        <v>33957.5</v>
      </c>
      <c r="X19" s="67">
        <f t="shared" si="17"/>
        <v>10474.41</v>
      </c>
      <c r="Y19" s="67">
        <f t="shared" si="17"/>
        <v>5858.33</v>
      </c>
      <c r="Z19" s="67">
        <f t="shared" si="17"/>
        <v>3108.8</v>
      </c>
      <c r="AA19" s="67">
        <f t="shared" si="17"/>
        <v>11022.09</v>
      </c>
      <c r="AB19" s="67">
        <f t="shared" si="17"/>
        <v>10515.19</v>
      </c>
      <c r="AC19" s="67">
        <f t="shared" si="17"/>
        <v>0</v>
      </c>
      <c r="AD19" s="67">
        <f t="shared" si="17"/>
        <v>0</v>
      </c>
      <c r="AE19" s="67">
        <f t="shared" si="17"/>
        <v>0</v>
      </c>
      <c r="AF19" s="67">
        <f t="shared" si="17"/>
        <v>17065.96</v>
      </c>
      <c r="AG19" s="67">
        <f t="shared" si="17"/>
        <v>0</v>
      </c>
      <c r="AH19" s="528"/>
      <c r="AI19" s="24"/>
    </row>
    <row r="20" spans="1:35" s="26" customFormat="1" ht="31.5" x14ac:dyDescent="0.25">
      <c r="A20" s="589"/>
      <c r="B20" s="592"/>
      <c r="C20" s="73" t="s">
        <v>21</v>
      </c>
      <c r="D20" s="74">
        <f>SUM(J20,L20,N20,P20,R20,T20,V20,X20,Z20,AB20,AD20,AF20)</f>
        <v>18169.38</v>
      </c>
      <c r="E20" s="74">
        <f>J20+L20+N20+P20+R20+T20+V20+X20+Z20</f>
        <v>14001.51</v>
      </c>
      <c r="F20" s="74">
        <f>G20</f>
        <v>13309.460000000001</v>
      </c>
      <c r="G20" s="74">
        <f>SUM(K20,M20,O20,Q20,S20,U20,W20,Y20,AA20,AC20,AE20,AG20)</f>
        <v>13309.460000000001</v>
      </c>
      <c r="H20" s="74">
        <f>IFERROR(G20/D20*100,0)</f>
        <v>73.252141790198678</v>
      </c>
      <c r="I20" s="74">
        <f>IFERROR(G20/E20*100,0)</f>
        <v>95.057318817756084</v>
      </c>
      <c r="J20" s="67">
        <f>J23+J26+J29+J32</f>
        <v>45</v>
      </c>
      <c r="K20" s="67">
        <f t="shared" ref="K20:AG20" si="18">K23+K26+K29+K32</f>
        <v>0</v>
      </c>
      <c r="L20" s="67">
        <f t="shared" si="18"/>
        <v>8041</v>
      </c>
      <c r="M20" s="67">
        <f t="shared" si="18"/>
        <v>8086</v>
      </c>
      <c r="N20" s="67">
        <f t="shared" si="18"/>
        <v>0</v>
      </c>
      <c r="O20" s="67">
        <f t="shared" si="18"/>
        <v>0</v>
      </c>
      <c r="P20" s="67">
        <f t="shared" si="18"/>
        <v>877.2</v>
      </c>
      <c r="Q20" s="67">
        <f t="shared" si="18"/>
        <v>195.53</v>
      </c>
      <c r="R20" s="67">
        <f t="shared" si="18"/>
        <v>0</v>
      </c>
      <c r="S20" s="67">
        <f t="shared" si="18"/>
        <v>0</v>
      </c>
      <c r="T20" s="67">
        <f t="shared" si="18"/>
        <v>1913.5</v>
      </c>
      <c r="U20" s="67">
        <f t="shared" si="18"/>
        <v>1577.01</v>
      </c>
      <c r="V20" s="67">
        <f t="shared" si="18"/>
        <v>1781.42</v>
      </c>
      <c r="W20" s="67">
        <f t="shared" si="18"/>
        <v>2107.52</v>
      </c>
      <c r="X20" s="67">
        <f t="shared" si="18"/>
        <v>1035.93</v>
      </c>
      <c r="Y20" s="67">
        <f t="shared" si="18"/>
        <v>253.29999999999998</v>
      </c>
      <c r="Z20" s="67">
        <f t="shared" si="18"/>
        <v>307.45999999999998</v>
      </c>
      <c r="AA20" s="67">
        <f t="shared" si="18"/>
        <v>1090.0999999999999</v>
      </c>
      <c r="AB20" s="67">
        <f t="shared" si="18"/>
        <v>1530.03</v>
      </c>
      <c r="AC20" s="67">
        <f t="shared" si="18"/>
        <v>0</v>
      </c>
      <c r="AD20" s="67">
        <f t="shared" si="18"/>
        <v>0</v>
      </c>
      <c r="AE20" s="67">
        <f t="shared" si="18"/>
        <v>0</v>
      </c>
      <c r="AF20" s="67">
        <f t="shared" si="18"/>
        <v>2637.84</v>
      </c>
      <c r="AG20" s="67">
        <f t="shared" si="18"/>
        <v>0</v>
      </c>
      <c r="AH20" s="529"/>
      <c r="AI20" s="24"/>
    </row>
    <row r="21" spans="1:35" s="22" customFormat="1" ht="21" x14ac:dyDescent="0.25">
      <c r="A21" s="545"/>
      <c r="B21" s="613" t="s">
        <v>61</v>
      </c>
      <c r="C21" s="57" t="s">
        <v>20</v>
      </c>
      <c r="D21" s="58">
        <f>D23+D22</f>
        <v>6430.45</v>
      </c>
      <c r="E21" s="58">
        <f t="shared" ref="E21" si="19">E23+E22</f>
        <v>267.75</v>
      </c>
      <c r="F21" s="58">
        <f t="shared" ref="F21" si="20">F23+F22</f>
        <v>267.75</v>
      </c>
      <c r="G21" s="58">
        <f t="shared" ref="G21" si="21">G23+G22</f>
        <v>267.75</v>
      </c>
      <c r="H21" s="58">
        <f t="shared" ref="H21" si="22">IFERROR(G21/D21*100,0)</f>
        <v>4.1637832500058325</v>
      </c>
      <c r="I21" s="58">
        <f t="shared" ref="I21" si="23">IFERROR(G21/E21*100,0)</f>
        <v>100</v>
      </c>
      <c r="J21" s="59">
        <f>J23+J22</f>
        <v>0</v>
      </c>
      <c r="K21" s="59">
        <f t="shared" ref="K21" si="24">K23+K22</f>
        <v>0</v>
      </c>
      <c r="L21" s="59">
        <f t="shared" ref="L21" si="25">L23+L22</f>
        <v>0</v>
      </c>
      <c r="M21" s="59">
        <f t="shared" ref="M21" si="26">M23+M22</f>
        <v>0</v>
      </c>
      <c r="N21" s="59">
        <f t="shared" ref="N21" si="27">N23+N22</f>
        <v>0</v>
      </c>
      <c r="O21" s="59">
        <f t="shared" ref="O21" si="28">O23+O22</f>
        <v>0</v>
      </c>
      <c r="P21" s="59">
        <f t="shared" ref="P21" si="29">P23+P22</f>
        <v>0</v>
      </c>
      <c r="Q21" s="59">
        <f t="shared" ref="Q21" si="30">Q23+Q22</f>
        <v>0</v>
      </c>
      <c r="R21" s="59">
        <f t="shared" ref="R21" si="31">R23+R22</f>
        <v>0</v>
      </c>
      <c r="S21" s="59">
        <f t="shared" ref="S21" si="32">S23+S22</f>
        <v>0</v>
      </c>
      <c r="T21" s="59">
        <f t="shared" ref="T21" si="33">T23+T22</f>
        <v>0</v>
      </c>
      <c r="U21" s="59">
        <f t="shared" ref="U21" si="34">U23+U22</f>
        <v>0</v>
      </c>
      <c r="V21" s="59">
        <f t="shared" ref="V21" si="35">V23+V22</f>
        <v>0</v>
      </c>
      <c r="W21" s="59">
        <f t="shared" ref="W21" si="36">W23+W22</f>
        <v>0</v>
      </c>
      <c r="X21" s="59">
        <f t="shared" ref="X21" si="37">X23+X22</f>
        <v>267.75</v>
      </c>
      <c r="Y21" s="59">
        <f t="shared" ref="Y21" si="38">Y23+Y22</f>
        <v>267.75</v>
      </c>
      <c r="Z21" s="59">
        <f t="shared" ref="Z21" si="39">Z23+Z22</f>
        <v>0</v>
      </c>
      <c r="AA21" s="59">
        <f t="shared" ref="AA21" si="40">AA23+AA22</f>
        <v>0</v>
      </c>
      <c r="AB21" s="59">
        <f t="shared" ref="AB21" si="41">AB23+AB22</f>
        <v>5212.7000000000007</v>
      </c>
      <c r="AC21" s="59">
        <f t="shared" ref="AC21" si="42">AC23+AC22</f>
        <v>0</v>
      </c>
      <c r="AD21" s="59">
        <f t="shared" ref="AD21" si="43">AD23+AD22</f>
        <v>0</v>
      </c>
      <c r="AE21" s="59">
        <f t="shared" ref="AE21" si="44">AE23+AE22</f>
        <v>0</v>
      </c>
      <c r="AF21" s="59">
        <f t="shared" ref="AF21" si="45">AF23+AF22</f>
        <v>950</v>
      </c>
      <c r="AG21" s="59">
        <f t="shared" ref="AG21" si="46">AG23+AG22</f>
        <v>0</v>
      </c>
      <c r="AH21" s="514" t="s">
        <v>329</v>
      </c>
      <c r="AI21" s="20"/>
    </row>
    <row r="22" spans="1:35" s="22" customFormat="1" ht="47.25" x14ac:dyDescent="0.25">
      <c r="A22" s="546"/>
      <c r="B22" s="614"/>
      <c r="C22" s="61" t="s">
        <v>22</v>
      </c>
      <c r="D22" s="62">
        <f>SUM(J22,L22,N22,P22,R22,T22,V22,X22,Z22,AB22,AD22,AF22)</f>
        <v>4541.25</v>
      </c>
      <c r="E22" s="62">
        <f>J22+L22+N22+P22+R22+T22+V22+X22+Z22</f>
        <v>243.65</v>
      </c>
      <c r="F22" s="62">
        <f>G22</f>
        <v>243.65</v>
      </c>
      <c r="G22" s="62">
        <f>SUM(K22,M22,O22,Q22,S22,U22,W22,Y22,AA22,AC22,AE22,AG22)</f>
        <v>243.65</v>
      </c>
      <c r="H22" s="62">
        <f>IFERROR(G22/D22*100,0)</f>
        <v>5.3652628681530414</v>
      </c>
      <c r="I22" s="62">
        <f>IFERROR(G22/E22*100,0)</f>
        <v>100</v>
      </c>
      <c r="J22" s="63">
        <v>0</v>
      </c>
      <c r="K22" s="63">
        <v>0</v>
      </c>
      <c r="L22" s="63">
        <v>0</v>
      </c>
      <c r="M22" s="63">
        <v>0</v>
      </c>
      <c r="N22" s="63">
        <v>0</v>
      </c>
      <c r="O22" s="63">
        <v>0</v>
      </c>
      <c r="P22" s="63">
        <v>0</v>
      </c>
      <c r="Q22" s="63">
        <v>0</v>
      </c>
      <c r="R22" s="63">
        <v>0</v>
      </c>
      <c r="S22" s="63">
        <v>0</v>
      </c>
      <c r="T22" s="63">
        <v>0</v>
      </c>
      <c r="U22" s="63">
        <v>0</v>
      </c>
      <c r="V22" s="63">
        <v>0</v>
      </c>
      <c r="W22" s="63">
        <v>0</v>
      </c>
      <c r="X22" s="63">
        <v>243.65</v>
      </c>
      <c r="Y22" s="63">
        <v>243.65</v>
      </c>
      <c r="Z22" s="63">
        <v>0</v>
      </c>
      <c r="AA22" s="63">
        <v>0</v>
      </c>
      <c r="AB22" s="63">
        <v>4297.6000000000004</v>
      </c>
      <c r="AC22" s="63">
        <v>0</v>
      </c>
      <c r="AD22" s="63">
        <v>0</v>
      </c>
      <c r="AE22" s="63">
        <v>0</v>
      </c>
      <c r="AF22" s="63">
        <v>0</v>
      </c>
      <c r="AG22" s="63">
        <v>0</v>
      </c>
      <c r="AH22" s="515"/>
      <c r="AI22" s="20"/>
    </row>
    <row r="23" spans="1:35" s="22" customFormat="1" ht="31.5" x14ac:dyDescent="0.25">
      <c r="A23" s="540"/>
      <c r="B23" s="614"/>
      <c r="C23" s="61" t="s">
        <v>21</v>
      </c>
      <c r="D23" s="62">
        <f>SUM(J23,L23,N23,P23,R23,T23,V23,X23,Z23,AB23,AD23,AF23)</f>
        <v>1889.2</v>
      </c>
      <c r="E23" s="62">
        <f>J23+L23+N23+P23+R23+T23+V23+X23+Z23</f>
        <v>24.1</v>
      </c>
      <c r="F23" s="62">
        <f>G23</f>
        <v>24.1</v>
      </c>
      <c r="G23" s="62">
        <f>SUM(K23,M23,O23,Q23,S23,U23,W23,Y23,AA23,AC23,AE23,AG23)</f>
        <v>24.1</v>
      </c>
      <c r="H23" s="62">
        <f>IFERROR(G23/D23*100,0)</f>
        <v>1.2756722422189286</v>
      </c>
      <c r="I23" s="62">
        <f>IFERROR(G23/E23*100,0)</f>
        <v>100</v>
      </c>
      <c r="J23" s="63">
        <v>0</v>
      </c>
      <c r="K23" s="63">
        <v>0</v>
      </c>
      <c r="L23" s="63">
        <v>0</v>
      </c>
      <c r="M23" s="63">
        <v>0</v>
      </c>
      <c r="N23" s="63">
        <v>0</v>
      </c>
      <c r="O23" s="63">
        <v>0</v>
      </c>
      <c r="P23" s="63">
        <v>0</v>
      </c>
      <c r="Q23" s="63">
        <v>0</v>
      </c>
      <c r="R23" s="63">
        <v>0</v>
      </c>
      <c r="S23" s="63">
        <v>0</v>
      </c>
      <c r="T23" s="63">
        <v>0</v>
      </c>
      <c r="U23" s="63">
        <v>0</v>
      </c>
      <c r="V23" s="63">
        <v>0</v>
      </c>
      <c r="W23" s="63">
        <v>0</v>
      </c>
      <c r="X23" s="63">
        <v>24.1</v>
      </c>
      <c r="Y23" s="63">
        <v>24.1</v>
      </c>
      <c r="Z23" s="63">
        <v>0</v>
      </c>
      <c r="AA23" s="63">
        <v>0</v>
      </c>
      <c r="AB23" s="63">
        <f>425.1+490</f>
        <v>915.1</v>
      </c>
      <c r="AC23" s="63">
        <v>0</v>
      </c>
      <c r="AD23" s="63">
        <v>0</v>
      </c>
      <c r="AE23" s="63">
        <v>0</v>
      </c>
      <c r="AF23" s="63">
        <v>950</v>
      </c>
      <c r="AG23" s="63">
        <v>0</v>
      </c>
      <c r="AH23" s="516"/>
      <c r="AI23" s="20"/>
    </row>
    <row r="24" spans="1:35" s="22" customFormat="1" ht="21" x14ac:dyDescent="0.25">
      <c r="A24" s="540"/>
      <c r="B24" s="613" t="s">
        <v>60</v>
      </c>
      <c r="C24" s="57" t="s">
        <v>20</v>
      </c>
      <c r="D24" s="58">
        <f>D26+D25</f>
        <v>33681.730000000003</v>
      </c>
      <c r="E24" s="58">
        <f t="shared" ref="E24" si="47">E26+E25</f>
        <v>21760.5</v>
      </c>
      <c r="F24" s="58">
        <f t="shared" ref="F24" si="48">F26+F25</f>
        <v>21645.65</v>
      </c>
      <c r="G24" s="58">
        <f t="shared" ref="G24" si="49">G26+G25</f>
        <v>21645.65</v>
      </c>
      <c r="H24" s="58">
        <f t="shared" ref="H24" si="50">IFERROR(G24/D24*100,0)</f>
        <v>64.265255971115494</v>
      </c>
      <c r="I24" s="58">
        <f t="shared" ref="I24" si="51">IFERROR(G24/E24*100,0)</f>
        <v>99.47220881873119</v>
      </c>
      <c r="J24" s="59">
        <f>J26+J25</f>
        <v>500</v>
      </c>
      <c r="K24" s="59">
        <f t="shared" ref="K24" si="52">K26+K25</f>
        <v>0</v>
      </c>
      <c r="L24" s="59">
        <f t="shared" ref="L24" si="53">L26+L25</f>
        <v>0</v>
      </c>
      <c r="M24" s="59">
        <f t="shared" ref="M24" si="54">M26+M25</f>
        <v>500</v>
      </c>
      <c r="N24" s="59">
        <f t="shared" ref="N24" si="55">N26+N25</f>
        <v>0</v>
      </c>
      <c r="O24" s="59">
        <f t="shared" ref="O24" si="56">O26+O25</f>
        <v>0</v>
      </c>
      <c r="P24" s="59">
        <f t="shared" ref="P24" si="57">P26+P25</f>
        <v>0</v>
      </c>
      <c r="Q24" s="59">
        <f t="shared" ref="Q24" si="58">Q26+Q25</f>
        <v>0</v>
      </c>
      <c r="R24" s="59">
        <f t="shared" ref="R24" si="59">R26+R25</f>
        <v>0</v>
      </c>
      <c r="S24" s="59">
        <f t="shared" ref="S24" si="60">S26+S25</f>
        <v>0</v>
      </c>
      <c r="T24" s="59">
        <f t="shared" ref="T24" si="61">T26+T25</f>
        <v>1913.5</v>
      </c>
      <c r="U24" s="59">
        <f t="shared" ref="U24" si="62">U26+U25</f>
        <v>1577.01</v>
      </c>
      <c r="V24" s="59">
        <f t="shared" ref="V24" si="63">V26+V25</f>
        <v>19347</v>
      </c>
      <c r="W24" s="59">
        <f t="shared" ref="W24" si="64">W26+W25</f>
        <v>16271.43</v>
      </c>
      <c r="X24" s="59">
        <f t="shared" ref="X24" si="65">X26+X25</f>
        <v>0</v>
      </c>
      <c r="Y24" s="59">
        <f t="shared" ref="Y24" si="66">Y26+Y25</f>
        <v>3297.21</v>
      </c>
      <c r="Z24" s="59">
        <f t="shared" ref="Z24" si="67">Z26+Z25</f>
        <v>0</v>
      </c>
      <c r="AA24" s="59">
        <f t="shared" ref="AA24" si="68">AA26+AA25</f>
        <v>0</v>
      </c>
      <c r="AB24" s="59">
        <f t="shared" ref="AB24" si="69">AB26+AB25</f>
        <v>0</v>
      </c>
      <c r="AC24" s="59">
        <f t="shared" ref="AC24" si="70">AC26+AC25</f>
        <v>0</v>
      </c>
      <c r="AD24" s="59">
        <f t="shared" ref="AD24" si="71">AD26+AD25</f>
        <v>0</v>
      </c>
      <c r="AE24" s="59">
        <f t="shared" ref="AE24" si="72">AE26+AE25</f>
        <v>0</v>
      </c>
      <c r="AF24" s="59">
        <f t="shared" ref="AF24" si="73">AF26+AF25</f>
        <v>11921.230000000001</v>
      </c>
      <c r="AG24" s="59">
        <f t="shared" ref="AG24" si="74">AG26+AG25</f>
        <v>0</v>
      </c>
      <c r="AH24" s="626" t="s">
        <v>419</v>
      </c>
      <c r="AI24" s="20"/>
    </row>
    <row r="25" spans="1:35" s="22" customFormat="1" ht="47.25" x14ac:dyDescent="0.25">
      <c r="A25" s="540"/>
      <c r="B25" s="614"/>
      <c r="C25" s="61" t="s">
        <v>22</v>
      </c>
      <c r="D25" s="74">
        <f>SUM(J25,L25,N25,P25,R25,T25,V25,X25,Z25,AB25,AD25,AF25)</f>
        <v>30650.370000000003</v>
      </c>
      <c r="E25" s="74">
        <f>J25+L25+N25+P25+R25+T25+V25+X25+Z25</f>
        <v>19802</v>
      </c>
      <c r="F25" s="74">
        <f>G25</f>
        <v>19697.54</v>
      </c>
      <c r="G25" s="74">
        <f>SUM(K25,M25,O25,Q25,S25,U25,W25,Y25,AA25,AC25,AE25,AG25)</f>
        <v>19697.54</v>
      </c>
      <c r="H25" s="74">
        <f>IFERROR(G25/D25*100,0)</f>
        <v>64.265260093108168</v>
      </c>
      <c r="I25" s="74">
        <f>IFERROR(G25/E25*100,0)</f>
        <v>99.472477527522472</v>
      </c>
      <c r="J25" s="67">
        <v>455</v>
      </c>
      <c r="K25" s="67">
        <v>0</v>
      </c>
      <c r="L25" s="67">
        <v>0</v>
      </c>
      <c r="M25" s="67">
        <v>455</v>
      </c>
      <c r="N25" s="67">
        <v>0</v>
      </c>
      <c r="O25" s="67">
        <v>0</v>
      </c>
      <c r="P25" s="67">
        <v>0</v>
      </c>
      <c r="Q25" s="67">
        <v>0</v>
      </c>
      <c r="R25" s="67">
        <v>0</v>
      </c>
      <c r="S25" s="67">
        <v>0</v>
      </c>
      <c r="T25" s="67">
        <v>0</v>
      </c>
      <c r="U25" s="67">
        <v>0</v>
      </c>
      <c r="V25" s="67">
        <v>19347</v>
      </c>
      <c r="W25" s="67">
        <v>15945.33</v>
      </c>
      <c r="X25" s="67">
        <v>0</v>
      </c>
      <c r="Y25" s="67">
        <v>3297.21</v>
      </c>
      <c r="Z25" s="67">
        <v>0</v>
      </c>
      <c r="AA25" s="67">
        <v>0</v>
      </c>
      <c r="AB25" s="67">
        <v>0</v>
      </c>
      <c r="AC25" s="67">
        <v>0</v>
      </c>
      <c r="AD25" s="67">
        <v>0</v>
      </c>
      <c r="AE25" s="67">
        <v>0</v>
      </c>
      <c r="AF25" s="67">
        <v>10848.37</v>
      </c>
      <c r="AG25" s="63">
        <v>0</v>
      </c>
      <c r="AH25" s="627"/>
      <c r="AI25" s="20"/>
    </row>
    <row r="26" spans="1:35" s="22" customFormat="1" ht="31.5" x14ac:dyDescent="0.25">
      <c r="A26" s="541"/>
      <c r="B26" s="614"/>
      <c r="C26" s="61" t="s">
        <v>21</v>
      </c>
      <c r="D26" s="74">
        <f>SUM(J26,L26,N26,P26,R26,T26,V26,X26,Z26,AB26,AD26,AF26)</f>
        <v>3031.3599999999997</v>
      </c>
      <c r="E26" s="74">
        <f>J26+L26+N26+P26+R26+T26+V26+X26+Z26</f>
        <v>1958.5</v>
      </c>
      <c r="F26" s="74">
        <f>G26</f>
        <v>1948.1100000000001</v>
      </c>
      <c r="G26" s="74">
        <f>SUM(K26,M26,O26,Q26,S26,U26,W26,Y26,AA26,AC26,AE26,AG26)</f>
        <v>1948.1100000000001</v>
      </c>
      <c r="H26" s="74">
        <f>IFERROR(G26/D26*100,0)</f>
        <v>64.26521429325453</v>
      </c>
      <c r="I26" s="74">
        <f>IFERROR(G26/E26*100,0)</f>
        <v>99.469491958131229</v>
      </c>
      <c r="J26" s="67">
        <v>45</v>
      </c>
      <c r="K26" s="67">
        <v>0</v>
      </c>
      <c r="L26" s="67">
        <v>0</v>
      </c>
      <c r="M26" s="67">
        <v>45</v>
      </c>
      <c r="N26" s="67">
        <v>0</v>
      </c>
      <c r="O26" s="67">
        <v>0</v>
      </c>
      <c r="P26" s="67">
        <v>0</v>
      </c>
      <c r="Q26" s="67">
        <v>0</v>
      </c>
      <c r="R26" s="67">
        <v>0</v>
      </c>
      <c r="S26" s="67">
        <v>0</v>
      </c>
      <c r="T26" s="67">
        <v>1913.5</v>
      </c>
      <c r="U26" s="67">
        <v>1577.01</v>
      </c>
      <c r="V26" s="67">
        <v>0</v>
      </c>
      <c r="W26" s="67">
        <v>326.10000000000002</v>
      </c>
      <c r="X26" s="67">
        <v>0</v>
      </c>
      <c r="Y26" s="67">
        <v>0</v>
      </c>
      <c r="Z26" s="67">
        <v>0</v>
      </c>
      <c r="AA26" s="67">
        <v>0</v>
      </c>
      <c r="AB26" s="67">
        <v>0</v>
      </c>
      <c r="AC26" s="67">
        <v>0</v>
      </c>
      <c r="AD26" s="67">
        <v>0</v>
      </c>
      <c r="AE26" s="67">
        <v>0</v>
      </c>
      <c r="AF26" s="67">
        <v>1072.8599999999999</v>
      </c>
      <c r="AG26" s="63">
        <v>0</v>
      </c>
      <c r="AH26" s="628"/>
      <c r="AI26" s="20"/>
    </row>
    <row r="27" spans="1:35" s="22" customFormat="1" ht="21" x14ac:dyDescent="0.25">
      <c r="A27" s="539"/>
      <c r="B27" s="613" t="s">
        <v>62</v>
      </c>
      <c r="C27" s="57" t="s">
        <v>20</v>
      </c>
      <c r="D27" s="58">
        <f>D29+D28</f>
        <v>17787.2</v>
      </c>
      <c r="E27" s="58">
        <f t="shared" ref="E27" si="75">E29+E28</f>
        <v>17787.2</v>
      </c>
      <c r="F27" s="58">
        <f t="shared" ref="F27" si="76">F29+F28</f>
        <v>10213.51</v>
      </c>
      <c r="G27" s="58">
        <f t="shared" ref="G27" si="77">G29+G28</f>
        <v>10213.51</v>
      </c>
      <c r="H27" s="58">
        <f t="shared" ref="H27" si="78">IFERROR(G27/D27*100,0)</f>
        <v>57.420560852748039</v>
      </c>
      <c r="I27" s="58">
        <f t="shared" ref="I27" si="79">IFERROR(G27/E27*100,0)</f>
        <v>57.420560852748039</v>
      </c>
      <c r="J27" s="59">
        <f>J29+J28</f>
        <v>0</v>
      </c>
      <c r="K27" s="59">
        <f t="shared" ref="K27" si="80">K29+K28</f>
        <v>0</v>
      </c>
      <c r="L27" s="59">
        <f t="shared" ref="L27" si="81">L29+L28</f>
        <v>8041</v>
      </c>
      <c r="M27" s="59">
        <f t="shared" ref="M27" si="82">M29+M28</f>
        <v>8041</v>
      </c>
      <c r="N27" s="59">
        <f t="shared" ref="N27" si="83">N29+N28</f>
        <v>0</v>
      </c>
      <c r="O27" s="59">
        <f t="shared" ref="O27" si="84">O29+O28</f>
        <v>0</v>
      </c>
      <c r="P27" s="59">
        <f t="shared" ref="P27" si="85">P29+P28</f>
        <v>9746.2000000000007</v>
      </c>
      <c r="Q27" s="59">
        <f t="shared" ref="Q27" si="86">Q29+Q28</f>
        <v>2172.5100000000002</v>
      </c>
      <c r="R27" s="59">
        <f t="shared" ref="R27" si="87">R29+R28</f>
        <v>0</v>
      </c>
      <c r="S27" s="59">
        <f t="shared" ref="S27" si="88">S29+S28</f>
        <v>0</v>
      </c>
      <c r="T27" s="59">
        <f t="shared" ref="T27" si="89">T29+T28</f>
        <v>0</v>
      </c>
      <c r="U27" s="59">
        <f t="shared" ref="U27" si="90">U29+U28</f>
        <v>0</v>
      </c>
      <c r="V27" s="59">
        <f t="shared" ref="V27" si="91">V29+V28</f>
        <v>0</v>
      </c>
      <c r="W27" s="59">
        <f t="shared" ref="W27" si="92">W29+W28</f>
        <v>0</v>
      </c>
      <c r="X27" s="59">
        <f t="shared" ref="X27" si="93">X29+X28</f>
        <v>0</v>
      </c>
      <c r="Y27" s="59">
        <f t="shared" ref="Y27" si="94">Y29+Y28</f>
        <v>0</v>
      </c>
      <c r="Z27" s="59">
        <f t="shared" ref="Z27" si="95">Z29+Z28</f>
        <v>0</v>
      </c>
      <c r="AA27" s="59">
        <f t="shared" ref="AA27" si="96">AA29+AA28</f>
        <v>0</v>
      </c>
      <c r="AB27" s="59">
        <f t="shared" ref="AB27" si="97">AB29+AB28</f>
        <v>0</v>
      </c>
      <c r="AC27" s="59">
        <f t="shared" ref="AC27" si="98">AC29+AC28</f>
        <v>0</v>
      </c>
      <c r="AD27" s="59">
        <f t="shared" ref="AD27" si="99">AD29+AD28</f>
        <v>0</v>
      </c>
      <c r="AE27" s="59">
        <f t="shared" ref="AE27" si="100">AE29+AE28</f>
        <v>0</v>
      </c>
      <c r="AF27" s="59">
        <f t="shared" ref="AF27" si="101">AF29+AF28</f>
        <v>0</v>
      </c>
      <c r="AG27" s="59">
        <f t="shared" ref="AG27" si="102">AG29+AG28</f>
        <v>0</v>
      </c>
      <c r="AH27" s="514" t="s">
        <v>410</v>
      </c>
      <c r="AI27" s="20"/>
    </row>
    <row r="28" spans="1:35" s="22" customFormat="1" ht="47.25" x14ac:dyDescent="0.25">
      <c r="A28" s="540"/>
      <c r="B28" s="614"/>
      <c r="C28" s="61" t="s">
        <v>22</v>
      </c>
      <c r="D28" s="62">
        <f>SUM(J28,L28,N28,P28,R28,T28,V28,X28,Z28,AB28,AD28,AF28)</f>
        <v>8869</v>
      </c>
      <c r="E28" s="62">
        <f>J28+L28+N28+P28+R28+T28+V28+X28+Z28</f>
        <v>8869</v>
      </c>
      <c r="F28" s="62">
        <f>G28</f>
        <v>1976.98</v>
      </c>
      <c r="G28" s="62">
        <f>SUM(K28,M28,O28,Q28,S28,U28,W28,Y28,AA28,AC28,AE28,AG28)</f>
        <v>1976.98</v>
      </c>
      <c r="H28" s="62">
        <f>IFERROR(G28/D28*100,0)</f>
        <v>22.290900890743039</v>
      </c>
      <c r="I28" s="62">
        <f>IFERROR(G28/E28*100,0)</f>
        <v>22.290900890743039</v>
      </c>
      <c r="J28" s="63">
        <v>0</v>
      </c>
      <c r="K28" s="63">
        <v>0</v>
      </c>
      <c r="L28" s="63">
        <v>0</v>
      </c>
      <c r="M28" s="63">
        <v>0</v>
      </c>
      <c r="N28" s="63">
        <v>0</v>
      </c>
      <c r="O28" s="63">
        <v>0</v>
      </c>
      <c r="P28" s="63">
        <v>8869</v>
      </c>
      <c r="Q28" s="63">
        <v>1976.98</v>
      </c>
      <c r="R28" s="63">
        <v>0</v>
      </c>
      <c r="S28" s="63">
        <v>0</v>
      </c>
      <c r="T28" s="63">
        <v>0</v>
      </c>
      <c r="U28" s="63">
        <v>0</v>
      </c>
      <c r="V28" s="63">
        <v>0</v>
      </c>
      <c r="W28" s="63">
        <v>0</v>
      </c>
      <c r="X28" s="63">
        <v>0</v>
      </c>
      <c r="Y28" s="63">
        <v>0</v>
      </c>
      <c r="Z28" s="63">
        <v>0</v>
      </c>
      <c r="AA28" s="63">
        <v>0</v>
      </c>
      <c r="AB28" s="63">
        <v>0</v>
      </c>
      <c r="AC28" s="63">
        <v>0</v>
      </c>
      <c r="AD28" s="63">
        <v>0</v>
      </c>
      <c r="AE28" s="63">
        <v>0</v>
      </c>
      <c r="AF28" s="63">
        <v>0</v>
      </c>
      <c r="AG28" s="63">
        <v>0</v>
      </c>
      <c r="AH28" s="515"/>
      <c r="AI28" s="20"/>
    </row>
    <row r="29" spans="1:35" s="22" customFormat="1" ht="31.5" x14ac:dyDescent="0.25">
      <c r="A29" s="541"/>
      <c r="B29" s="614"/>
      <c r="C29" s="61" t="s">
        <v>21</v>
      </c>
      <c r="D29" s="62">
        <f>SUM(J29,L29,N29,P29,R29,T29,V29,X29,Z29,AB29,AD29,AF29)</f>
        <v>8918.2000000000007</v>
      </c>
      <c r="E29" s="62">
        <f>J29+L29+N29+P29+R29+T29+V29+X29+Z29</f>
        <v>8918.2000000000007</v>
      </c>
      <c r="F29" s="62">
        <f>G29</f>
        <v>8236.5300000000007</v>
      </c>
      <c r="G29" s="62">
        <f>SUM(K29,M29,O29,Q29,S29,U29,W29,Y29,AA29,AC29,AE29,AG29)</f>
        <v>8236.5300000000007</v>
      </c>
      <c r="H29" s="62">
        <f>IFERROR(G29/D29*100,0)</f>
        <v>92.356417214236046</v>
      </c>
      <c r="I29" s="62">
        <f>IFERROR(G29/E29*100,0)</f>
        <v>92.356417214236046</v>
      </c>
      <c r="J29" s="63">
        <v>0</v>
      </c>
      <c r="K29" s="63">
        <v>0</v>
      </c>
      <c r="L29" s="63">
        <v>8041</v>
      </c>
      <c r="M29" s="63">
        <v>8041</v>
      </c>
      <c r="N29" s="63">
        <v>0</v>
      </c>
      <c r="O29" s="63">
        <v>0</v>
      </c>
      <c r="P29" s="63">
        <v>877.2</v>
      </c>
      <c r="Q29" s="63">
        <v>195.53</v>
      </c>
      <c r="R29" s="63">
        <v>0</v>
      </c>
      <c r="S29" s="63">
        <v>0</v>
      </c>
      <c r="T29" s="63">
        <v>0</v>
      </c>
      <c r="U29" s="63">
        <v>0</v>
      </c>
      <c r="V29" s="63">
        <v>0</v>
      </c>
      <c r="W29" s="63">
        <v>0</v>
      </c>
      <c r="X29" s="63">
        <v>0</v>
      </c>
      <c r="Y29" s="63">
        <v>0</v>
      </c>
      <c r="Z29" s="63">
        <v>0</v>
      </c>
      <c r="AA29" s="63">
        <v>0</v>
      </c>
      <c r="AB29" s="63">
        <v>0</v>
      </c>
      <c r="AC29" s="63">
        <v>0</v>
      </c>
      <c r="AD29" s="63">
        <v>0</v>
      </c>
      <c r="AE29" s="63">
        <v>0</v>
      </c>
      <c r="AF29" s="63">
        <v>0</v>
      </c>
      <c r="AG29" s="63">
        <v>0</v>
      </c>
      <c r="AH29" s="516"/>
      <c r="AI29" s="20"/>
    </row>
    <row r="30" spans="1:35" s="22" customFormat="1" ht="21" x14ac:dyDescent="0.25">
      <c r="A30" s="539"/>
      <c r="B30" s="613" t="s">
        <v>411</v>
      </c>
      <c r="C30" s="57" t="s">
        <v>20</v>
      </c>
      <c r="D30" s="58">
        <f>D32+D31</f>
        <v>48117.530000000006</v>
      </c>
      <c r="E30" s="58">
        <f t="shared" ref="E30:G30" si="103">E32+E31</f>
        <v>34452.44</v>
      </c>
      <c r="F30" s="58">
        <f t="shared" si="103"/>
        <v>34452.449999999997</v>
      </c>
      <c r="G30" s="58">
        <f t="shared" si="103"/>
        <v>34452.449999999997</v>
      </c>
      <c r="H30" s="58">
        <f t="shared" ref="H30" si="104">IFERROR(G30/D30*100,0)</f>
        <v>71.600620397597282</v>
      </c>
      <c r="I30" s="58">
        <f t="shared" ref="I30" si="105">IFERROR(G30/E30*100,0)</f>
        <v>100.00002902552039</v>
      </c>
      <c r="J30" s="59">
        <f>J32+J31</f>
        <v>0</v>
      </c>
      <c r="K30" s="59">
        <f t="shared" ref="K30:AG30" si="106">K32+K31</f>
        <v>0</v>
      </c>
      <c r="L30" s="59">
        <f t="shared" si="106"/>
        <v>0</v>
      </c>
      <c r="M30" s="59">
        <f t="shared" si="106"/>
        <v>0</v>
      </c>
      <c r="N30" s="59">
        <f t="shared" si="106"/>
        <v>0</v>
      </c>
      <c r="O30" s="59">
        <f t="shared" si="106"/>
        <v>0</v>
      </c>
      <c r="P30" s="59">
        <f t="shared" si="106"/>
        <v>0</v>
      </c>
      <c r="Q30" s="59">
        <f t="shared" si="106"/>
        <v>0</v>
      </c>
      <c r="R30" s="59">
        <f t="shared" si="106"/>
        <v>0</v>
      </c>
      <c r="S30" s="59">
        <f t="shared" si="106"/>
        <v>0</v>
      </c>
      <c r="T30" s="59">
        <f t="shared" si="106"/>
        <v>0</v>
      </c>
      <c r="U30" s="59">
        <f t="shared" si="106"/>
        <v>0</v>
      </c>
      <c r="V30" s="59">
        <f t="shared" si="106"/>
        <v>19793.589999999997</v>
      </c>
      <c r="W30" s="59">
        <f t="shared" si="106"/>
        <v>19793.589999999997</v>
      </c>
      <c r="X30" s="59">
        <f t="shared" si="106"/>
        <v>11242.59</v>
      </c>
      <c r="Y30" s="59">
        <f t="shared" si="106"/>
        <v>2546.6699999999996</v>
      </c>
      <c r="Z30" s="59">
        <f t="shared" si="106"/>
        <v>3416.26</v>
      </c>
      <c r="AA30" s="59">
        <f t="shared" si="106"/>
        <v>12112.19</v>
      </c>
      <c r="AB30" s="59">
        <f t="shared" si="106"/>
        <v>6832.52</v>
      </c>
      <c r="AC30" s="59">
        <f t="shared" si="106"/>
        <v>0</v>
      </c>
      <c r="AD30" s="59">
        <f t="shared" si="106"/>
        <v>0</v>
      </c>
      <c r="AE30" s="59">
        <f t="shared" si="106"/>
        <v>0</v>
      </c>
      <c r="AF30" s="59">
        <f t="shared" si="106"/>
        <v>6832.57</v>
      </c>
      <c r="AG30" s="59">
        <f t="shared" si="106"/>
        <v>0</v>
      </c>
      <c r="AH30" s="514" t="s">
        <v>420</v>
      </c>
      <c r="AI30" s="20"/>
    </row>
    <row r="31" spans="1:35" s="22" customFormat="1" ht="47.25" x14ac:dyDescent="0.25">
      <c r="A31" s="540"/>
      <c r="B31" s="614"/>
      <c r="C31" s="469" t="s">
        <v>22</v>
      </c>
      <c r="D31" s="62">
        <f>SUM(J31,L31,N31,P31,R31,T31,V31,X31,Z31,AB31,AD31,AF31)</f>
        <v>43786.91</v>
      </c>
      <c r="E31" s="62">
        <f>J31+L31+N31+P31+R31+T31+V31+X31+Z31</f>
        <v>31351.73</v>
      </c>
      <c r="F31" s="62">
        <f>G31</f>
        <v>31351.73</v>
      </c>
      <c r="G31" s="62">
        <f>SUM(K31,M31,O31,Q31,S31,U31,W31,Y31,AA31,AC31,AE31,AG31)</f>
        <v>31351.73</v>
      </c>
      <c r="H31" s="62">
        <f>IFERROR(G31/D31*100,0)</f>
        <v>71.600690708707219</v>
      </c>
      <c r="I31" s="62">
        <f>IFERROR(G31/E31*100,0)</f>
        <v>100</v>
      </c>
      <c r="J31" s="63">
        <v>0</v>
      </c>
      <c r="K31" s="63">
        <v>0</v>
      </c>
      <c r="L31" s="63">
        <v>0</v>
      </c>
      <c r="M31" s="63">
        <v>0</v>
      </c>
      <c r="N31" s="63">
        <v>0</v>
      </c>
      <c r="O31" s="63">
        <v>0</v>
      </c>
      <c r="P31" s="63">
        <v>0</v>
      </c>
      <c r="Q31" s="63">
        <v>0</v>
      </c>
      <c r="R31" s="63">
        <v>0</v>
      </c>
      <c r="S31" s="63">
        <v>0</v>
      </c>
      <c r="T31" s="63">
        <v>0</v>
      </c>
      <c r="U31" s="63">
        <v>0</v>
      </c>
      <c r="V31" s="63">
        <v>18012.169999999998</v>
      </c>
      <c r="W31" s="63">
        <v>18012.169999999998</v>
      </c>
      <c r="X31" s="63">
        <v>10230.76</v>
      </c>
      <c r="Y31" s="63">
        <v>2317.4699999999998</v>
      </c>
      <c r="Z31" s="63">
        <v>3108.8</v>
      </c>
      <c r="AA31" s="63">
        <v>11022.09</v>
      </c>
      <c r="AB31" s="63">
        <v>6217.59</v>
      </c>
      <c r="AC31" s="63">
        <v>0</v>
      </c>
      <c r="AD31" s="63">
        <v>0</v>
      </c>
      <c r="AE31" s="63">
        <v>0</v>
      </c>
      <c r="AF31" s="63">
        <v>6217.59</v>
      </c>
      <c r="AG31" s="63">
        <v>0</v>
      </c>
      <c r="AH31" s="515"/>
      <c r="AI31" s="20"/>
    </row>
    <row r="32" spans="1:35" s="22" customFormat="1" ht="31.5" x14ac:dyDescent="0.25">
      <c r="A32" s="540"/>
      <c r="B32" s="617"/>
      <c r="C32" s="469" t="s">
        <v>21</v>
      </c>
      <c r="D32" s="62">
        <f>SUM(J32,L32,N32,P32,R32,T32,V32,X32,Z32,AB32,AD32,AF32)</f>
        <v>4330.62</v>
      </c>
      <c r="E32" s="62">
        <f>J32+L32+N32+P32+R32+T32+V32+X32+Z32</f>
        <v>3100.71</v>
      </c>
      <c r="F32" s="62">
        <f>G32</f>
        <v>3100.7200000000003</v>
      </c>
      <c r="G32" s="62">
        <f>SUM(K32,M32,O32,Q32,S32,U32,W32,Y32,AA32,AC32,AE32,AG32)</f>
        <v>3100.7200000000003</v>
      </c>
      <c r="H32" s="62">
        <f>IFERROR(G32/D32*100,0)</f>
        <v>71.599909481783214</v>
      </c>
      <c r="I32" s="62">
        <f>IFERROR(G32/E32*100,0)</f>
        <v>100.00032250678071</v>
      </c>
      <c r="J32" s="63">
        <v>0</v>
      </c>
      <c r="K32" s="63">
        <v>0</v>
      </c>
      <c r="L32" s="63">
        <v>0</v>
      </c>
      <c r="M32" s="63">
        <v>0</v>
      </c>
      <c r="N32" s="63">
        <v>0</v>
      </c>
      <c r="O32" s="63">
        <v>0</v>
      </c>
      <c r="P32" s="63">
        <v>0</v>
      </c>
      <c r="Q32" s="63">
        <v>0</v>
      </c>
      <c r="R32" s="63">
        <v>0</v>
      </c>
      <c r="S32" s="63">
        <v>0</v>
      </c>
      <c r="T32" s="63">
        <v>0</v>
      </c>
      <c r="U32" s="63">
        <v>0</v>
      </c>
      <c r="V32" s="63">
        <v>1781.42</v>
      </c>
      <c r="W32" s="63">
        <v>1781.42</v>
      </c>
      <c r="X32" s="63">
        <v>1011.83</v>
      </c>
      <c r="Y32" s="63">
        <v>229.2</v>
      </c>
      <c r="Z32" s="63">
        <v>307.45999999999998</v>
      </c>
      <c r="AA32" s="63">
        <v>1090.0999999999999</v>
      </c>
      <c r="AB32" s="63">
        <v>614.92999999999995</v>
      </c>
      <c r="AC32" s="63">
        <v>0</v>
      </c>
      <c r="AD32" s="63">
        <v>0</v>
      </c>
      <c r="AE32" s="63">
        <v>0</v>
      </c>
      <c r="AF32" s="63">
        <v>614.98</v>
      </c>
      <c r="AG32" s="63">
        <v>0</v>
      </c>
      <c r="AH32" s="516"/>
      <c r="AI32" s="20"/>
    </row>
    <row r="33" spans="1:35" s="22" customFormat="1" ht="25.5" customHeight="1" x14ac:dyDescent="0.25">
      <c r="A33" s="88"/>
      <c r="B33" s="536" t="s">
        <v>67</v>
      </c>
      <c r="C33" s="537"/>
      <c r="D33" s="537"/>
      <c r="E33" s="537"/>
      <c r="F33" s="537"/>
      <c r="G33" s="537"/>
      <c r="H33" s="537"/>
      <c r="I33" s="537"/>
      <c r="J33" s="537"/>
      <c r="K33" s="537"/>
      <c r="L33" s="537"/>
      <c r="M33" s="537"/>
      <c r="N33" s="537"/>
      <c r="O33" s="537"/>
      <c r="P33" s="537"/>
      <c r="Q33" s="537"/>
      <c r="R33" s="537"/>
      <c r="S33" s="537"/>
      <c r="T33" s="537"/>
      <c r="U33" s="537"/>
      <c r="V33" s="537"/>
      <c r="W33" s="537"/>
      <c r="X33" s="537"/>
      <c r="Y33" s="537"/>
      <c r="Z33" s="537"/>
      <c r="AA33" s="537"/>
      <c r="AB33" s="537"/>
      <c r="AC33" s="537"/>
      <c r="AD33" s="537"/>
      <c r="AE33" s="537"/>
      <c r="AF33" s="537"/>
      <c r="AG33" s="538"/>
      <c r="AH33" s="60"/>
      <c r="AI33" s="20"/>
    </row>
    <row r="34" spans="1:35" s="22" customFormat="1" ht="21" x14ac:dyDescent="0.25">
      <c r="A34" s="615" t="s">
        <v>63</v>
      </c>
      <c r="B34" s="591" t="s">
        <v>64</v>
      </c>
      <c r="C34" s="81" t="s">
        <v>20</v>
      </c>
      <c r="D34" s="82">
        <f t="shared" ref="D34:D44" si="107">SUM(J34,L34,N34,P34,R34,T34,V34,X34,Z34,AB34,AD34,AF34)</f>
        <v>9816.7900000000009</v>
      </c>
      <c r="E34" s="82">
        <f>E35+E36+E37</f>
        <v>2.1</v>
      </c>
      <c r="F34" s="82">
        <f>F35+F36+F37</f>
        <v>2.1</v>
      </c>
      <c r="G34" s="82">
        <f>G35+G36+G37</f>
        <v>2.1</v>
      </c>
      <c r="H34" s="82">
        <f t="shared" si="12"/>
        <v>2.1391921391819526E-2</v>
      </c>
      <c r="I34" s="82">
        <f t="shared" si="13"/>
        <v>100</v>
      </c>
      <c r="J34" s="83">
        <f>J35+J36+J37</f>
        <v>0</v>
      </c>
      <c r="K34" s="83">
        <f t="shared" ref="K34:AG34" si="108">K35+K36+K37</f>
        <v>0</v>
      </c>
      <c r="L34" s="83">
        <f t="shared" si="108"/>
        <v>0</v>
      </c>
      <c r="M34" s="83">
        <f t="shared" si="108"/>
        <v>0</v>
      </c>
      <c r="N34" s="83">
        <f t="shared" si="108"/>
        <v>2.1</v>
      </c>
      <c r="O34" s="83">
        <f t="shared" si="108"/>
        <v>2.1</v>
      </c>
      <c r="P34" s="83">
        <f t="shared" si="108"/>
        <v>0</v>
      </c>
      <c r="Q34" s="83">
        <f t="shared" si="108"/>
        <v>0</v>
      </c>
      <c r="R34" s="83">
        <f t="shared" si="108"/>
        <v>0</v>
      </c>
      <c r="S34" s="83">
        <f t="shared" si="108"/>
        <v>0</v>
      </c>
      <c r="T34" s="83">
        <f t="shared" si="108"/>
        <v>0</v>
      </c>
      <c r="U34" s="83">
        <f t="shared" si="108"/>
        <v>0</v>
      </c>
      <c r="V34" s="83">
        <f t="shared" si="108"/>
        <v>0</v>
      </c>
      <c r="W34" s="83">
        <f t="shared" si="108"/>
        <v>0</v>
      </c>
      <c r="X34" s="83">
        <f t="shared" si="108"/>
        <v>0</v>
      </c>
      <c r="Y34" s="83">
        <f t="shared" si="108"/>
        <v>0</v>
      </c>
      <c r="Z34" s="83">
        <f t="shared" si="108"/>
        <v>0</v>
      </c>
      <c r="AA34" s="83">
        <f t="shared" si="108"/>
        <v>0</v>
      </c>
      <c r="AB34" s="83">
        <f t="shared" si="108"/>
        <v>0</v>
      </c>
      <c r="AC34" s="83">
        <f t="shared" si="108"/>
        <v>0</v>
      </c>
      <c r="AD34" s="83">
        <f t="shared" si="108"/>
        <v>0</v>
      </c>
      <c r="AE34" s="83">
        <f t="shared" si="108"/>
        <v>0</v>
      </c>
      <c r="AF34" s="83">
        <f t="shared" si="108"/>
        <v>9814.69</v>
      </c>
      <c r="AG34" s="83">
        <f t="shared" si="108"/>
        <v>0</v>
      </c>
      <c r="AH34" s="514"/>
      <c r="AI34" s="20"/>
    </row>
    <row r="35" spans="1:35" s="22" customFormat="1" ht="31.5" x14ac:dyDescent="0.25">
      <c r="A35" s="616"/>
      <c r="B35" s="592"/>
      <c r="C35" s="61" t="s">
        <v>52</v>
      </c>
      <c r="D35" s="62">
        <f t="shared" si="107"/>
        <v>8547.42</v>
      </c>
      <c r="E35" s="62">
        <f>J35+L35+N35+P35+R35+T35+V35+X35+Z35</f>
        <v>0</v>
      </c>
      <c r="F35" s="62">
        <f>G35</f>
        <v>0</v>
      </c>
      <c r="G35" s="62">
        <f>SUM(K35,M35,O35,Q35,S35,U35,W35,Y35,AA35,AC35,AE35,AG35)</f>
        <v>0</v>
      </c>
      <c r="H35" s="62">
        <f t="shared" si="12"/>
        <v>0</v>
      </c>
      <c r="I35" s="62">
        <f t="shared" si="13"/>
        <v>0</v>
      </c>
      <c r="J35" s="63">
        <f>J39+J41+J43+J46</f>
        <v>0</v>
      </c>
      <c r="K35" s="63">
        <f t="shared" ref="K35:AG35" si="109">K39+K41+K43+K46</f>
        <v>0</v>
      </c>
      <c r="L35" s="63">
        <f t="shared" si="109"/>
        <v>0</v>
      </c>
      <c r="M35" s="63">
        <f t="shared" si="109"/>
        <v>0</v>
      </c>
      <c r="N35" s="63">
        <f t="shared" si="109"/>
        <v>0</v>
      </c>
      <c r="O35" s="63">
        <f t="shared" si="109"/>
        <v>0</v>
      </c>
      <c r="P35" s="63">
        <f t="shared" si="109"/>
        <v>0</v>
      </c>
      <c r="Q35" s="63">
        <f t="shared" si="109"/>
        <v>0</v>
      </c>
      <c r="R35" s="63">
        <f t="shared" si="109"/>
        <v>0</v>
      </c>
      <c r="S35" s="63">
        <f t="shared" si="109"/>
        <v>0</v>
      </c>
      <c r="T35" s="63">
        <f t="shared" si="109"/>
        <v>0</v>
      </c>
      <c r="U35" s="63">
        <f t="shared" si="109"/>
        <v>0</v>
      </c>
      <c r="V35" s="63">
        <f t="shared" si="109"/>
        <v>0</v>
      </c>
      <c r="W35" s="63">
        <f t="shared" si="109"/>
        <v>0</v>
      </c>
      <c r="X35" s="63">
        <f t="shared" si="109"/>
        <v>0</v>
      </c>
      <c r="Y35" s="63">
        <f t="shared" si="109"/>
        <v>0</v>
      </c>
      <c r="Z35" s="63">
        <f t="shared" si="109"/>
        <v>0</v>
      </c>
      <c r="AA35" s="63">
        <f t="shared" si="109"/>
        <v>0</v>
      </c>
      <c r="AB35" s="63">
        <f t="shared" si="109"/>
        <v>0</v>
      </c>
      <c r="AC35" s="63">
        <f t="shared" si="109"/>
        <v>0</v>
      </c>
      <c r="AD35" s="63">
        <f t="shared" si="109"/>
        <v>0</v>
      </c>
      <c r="AE35" s="63">
        <f t="shared" si="109"/>
        <v>0</v>
      </c>
      <c r="AF35" s="63">
        <f t="shared" si="109"/>
        <v>8547.42</v>
      </c>
      <c r="AG35" s="63">
        <f t="shared" si="109"/>
        <v>0</v>
      </c>
      <c r="AH35" s="515"/>
      <c r="AI35" s="20"/>
    </row>
    <row r="36" spans="1:35" s="22" customFormat="1" ht="47.25" x14ac:dyDescent="0.25">
      <c r="A36" s="616"/>
      <c r="B36" s="592"/>
      <c r="C36" s="61" t="s">
        <v>22</v>
      </c>
      <c r="D36" s="62">
        <f t="shared" si="107"/>
        <v>2.1</v>
      </c>
      <c r="E36" s="62">
        <f t="shared" ref="E36:E37" si="110">J36+L36+N36+P36+R36+T36+V36+X36+Z36</f>
        <v>2.1</v>
      </c>
      <c r="F36" s="62">
        <f>G36</f>
        <v>2.1</v>
      </c>
      <c r="G36" s="62">
        <f>SUM(K36,M36,O36,Q36,S36,U36,W36,Y36,AA36,AC36,AE36,AG36)</f>
        <v>2.1</v>
      </c>
      <c r="H36" s="62">
        <f t="shared" si="12"/>
        <v>100</v>
      </c>
      <c r="I36" s="62">
        <f t="shared" si="13"/>
        <v>100</v>
      </c>
      <c r="J36" s="63">
        <f>J47</f>
        <v>0</v>
      </c>
      <c r="K36" s="63">
        <f t="shared" ref="K36:AG36" si="111">K47</f>
        <v>0</v>
      </c>
      <c r="L36" s="63">
        <f t="shared" si="111"/>
        <v>0</v>
      </c>
      <c r="M36" s="63">
        <f t="shared" si="111"/>
        <v>0</v>
      </c>
      <c r="N36" s="63">
        <f t="shared" si="111"/>
        <v>2.1</v>
      </c>
      <c r="O36" s="63">
        <f t="shared" si="111"/>
        <v>2.1</v>
      </c>
      <c r="P36" s="63">
        <f t="shared" si="111"/>
        <v>0</v>
      </c>
      <c r="Q36" s="63">
        <f t="shared" si="111"/>
        <v>0</v>
      </c>
      <c r="R36" s="63">
        <f t="shared" si="111"/>
        <v>0</v>
      </c>
      <c r="S36" s="63">
        <f t="shared" si="111"/>
        <v>0</v>
      </c>
      <c r="T36" s="63">
        <f t="shared" si="111"/>
        <v>0</v>
      </c>
      <c r="U36" s="63">
        <f t="shared" si="111"/>
        <v>0</v>
      </c>
      <c r="V36" s="63">
        <f t="shared" si="111"/>
        <v>0</v>
      </c>
      <c r="W36" s="63">
        <f t="shared" si="111"/>
        <v>0</v>
      </c>
      <c r="X36" s="63">
        <f t="shared" si="111"/>
        <v>0</v>
      </c>
      <c r="Y36" s="63">
        <f t="shared" si="111"/>
        <v>0</v>
      </c>
      <c r="Z36" s="63">
        <f t="shared" si="111"/>
        <v>0</v>
      </c>
      <c r="AA36" s="63">
        <f t="shared" si="111"/>
        <v>0</v>
      </c>
      <c r="AB36" s="63">
        <f t="shared" si="111"/>
        <v>0</v>
      </c>
      <c r="AC36" s="63">
        <f t="shared" si="111"/>
        <v>0</v>
      </c>
      <c r="AD36" s="63">
        <f t="shared" si="111"/>
        <v>0</v>
      </c>
      <c r="AE36" s="63">
        <f t="shared" si="111"/>
        <v>0</v>
      </c>
      <c r="AF36" s="63">
        <f t="shared" si="111"/>
        <v>0</v>
      </c>
      <c r="AG36" s="63">
        <f t="shared" si="111"/>
        <v>0</v>
      </c>
      <c r="AH36" s="516"/>
      <c r="AI36" s="20"/>
    </row>
    <row r="37" spans="1:35" s="22" customFormat="1" ht="31.5" x14ac:dyDescent="0.25">
      <c r="A37" s="618"/>
      <c r="B37" s="593"/>
      <c r="C37" s="469" t="s">
        <v>21</v>
      </c>
      <c r="D37" s="62">
        <f t="shared" si="107"/>
        <v>1267.27</v>
      </c>
      <c r="E37" s="62">
        <f t="shared" si="110"/>
        <v>0</v>
      </c>
      <c r="F37" s="62">
        <f>G37</f>
        <v>0</v>
      </c>
      <c r="G37" s="62">
        <f>SUM(K37,M37,O37,Q37,S37,U37,W37,Y37,AA37,AC37,AE37,AG37)</f>
        <v>0</v>
      </c>
      <c r="H37" s="62">
        <f t="shared" ref="H37" si="112">IFERROR(G37/D37*100,0)</f>
        <v>0</v>
      </c>
      <c r="I37" s="62">
        <f t="shared" ref="I37" si="113">IFERROR(G37/E37*100,0)</f>
        <v>0</v>
      </c>
      <c r="J37" s="63">
        <f>J44</f>
        <v>0</v>
      </c>
      <c r="K37" s="63">
        <f t="shared" ref="K37:AG37" si="114">K44</f>
        <v>0</v>
      </c>
      <c r="L37" s="63">
        <f t="shared" si="114"/>
        <v>0</v>
      </c>
      <c r="M37" s="63">
        <f t="shared" si="114"/>
        <v>0</v>
      </c>
      <c r="N37" s="63">
        <f t="shared" si="114"/>
        <v>0</v>
      </c>
      <c r="O37" s="63">
        <f t="shared" si="114"/>
        <v>0</v>
      </c>
      <c r="P37" s="63">
        <f t="shared" si="114"/>
        <v>0</v>
      </c>
      <c r="Q37" s="63">
        <f t="shared" si="114"/>
        <v>0</v>
      </c>
      <c r="R37" s="63">
        <f t="shared" si="114"/>
        <v>0</v>
      </c>
      <c r="S37" s="63">
        <f t="shared" si="114"/>
        <v>0</v>
      </c>
      <c r="T37" s="63">
        <f t="shared" si="114"/>
        <v>0</v>
      </c>
      <c r="U37" s="63">
        <f t="shared" si="114"/>
        <v>0</v>
      </c>
      <c r="V37" s="63">
        <f t="shared" si="114"/>
        <v>0</v>
      </c>
      <c r="W37" s="63">
        <f t="shared" si="114"/>
        <v>0</v>
      </c>
      <c r="X37" s="63">
        <f t="shared" si="114"/>
        <v>0</v>
      </c>
      <c r="Y37" s="63">
        <f t="shared" si="114"/>
        <v>0</v>
      </c>
      <c r="Z37" s="63">
        <f t="shared" si="114"/>
        <v>0</v>
      </c>
      <c r="AA37" s="63">
        <f t="shared" si="114"/>
        <v>0</v>
      </c>
      <c r="AB37" s="63">
        <f t="shared" si="114"/>
        <v>0</v>
      </c>
      <c r="AC37" s="63">
        <f t="shared" si="114"/>
        <v>0</v>
      </c>
      <c r="AD37" s="63">
        <f t="shared" si="114"/>
        <v>0</v>
      </c>
      <c r="AE37" s="63">
        <f t="shared" si="114"/>
        <v>0</v>
      </c>
      <c r="AF37" s="63">
        <f t="shared" si="114"/>
        <v>1267.27</v>
      </c>
      <c r="AG37" s="63">
        <f t="shared" si="114"/>
        <v>0</v>
      </c>
      <c r="AH37" s="468"/>
      <c r="AI37" s="20"/>
    </row>
    <row r="38" spans="1:35" s="22" customFormat="1" ht="35.25" customHeight="1" x14ac:dyDescent="0.25">
      <c r="A38" s="545"/>
      <c r="B38" s="613" t="s">
        <v>412</v>
      </c>
      <c r="C38" s="57" t="s">
        <v>20</v>
      </c>
      <c r="D38" s="58">
        <f t="shared" si="107"/>
        <v>2200</v>
      </c>
      <c r="E38" s="58">
        <f t="shared" ref="E38:G42" si="115">E39</f>
        <v>0</v>
      </c>
      <c r="F38" s="58">
        <f t="shared" si="115"/>
        <v>0</v>
      </c>
      <c r="G38" s="58">
        <f t="shared" si="115"/>
        <v>0</v>
      </c>
      <c r="H38" s="58">
        <f t="shared" ref="H38:H45" si="116">IFERROR(G38/D38*100,0)</f>
        <v>0</v>
      </c>
      <c r="I38" s="58">
        <f t="shared" ref="I38:I45" si="117">IFERROR(G38/E38*100,0)</f>
        <v>0</v>
      </c>
      <c r="J38" s="59">
        <f>J39</f>
        <v>0</v>
      </c>
      <c r="K38" s="59">
        <f t="shared" ref="K38:AG42" si="118">K39</f>
        <v>0</v>
      </c>
      <c r="L38" s="59">
        <f t="shared" si="118"/>
        <v>0</v>
      </c>
      <c r="M38" s="59">
        <f t="shared" si="118"/>
        <v>0</v>
      </c>
      <c r="N38" s="59">
        <f t="shared" si="118"/>
        <v>0</v>
      </c>
      <c r="O38" s="59">
        <f t="shared" si="118"/>
        <v>0</v>
      </c>
      <c r="P38" s="59">
        <f t="shared" si="118"/>
        <v>0</v>
      </c>
      <c r="Q38" s="59">
        <f t="shared" si="118"/>
        <v>0</v>
      </c>
      <c r="R38" s="59">
        <f t="shared" si="118"/>
        <v>0</v>
      </c>
      <c r="S38" s="59">
        <f t="shared" si="118"/>
        <v>0</v>
      </c>
      <c r="T38" s="59">
        <f t="shared" si="118"/>
        <v>0</v>
      </c>
      <c r="U38" s="59">
        <f t="shared" si="118"/>
        <v>0</v>
      </c>
      <c r="V38" s="59">
        <f t="shared" si="118"/>
        <v>0</v>
      </c>
      <c r="W38" s="59">
        <f t="shared" si="118"/>
        <v>0</v>
      </c>
      <c r="X38" s="59">
        <f t="shared" si="118"/>
        <v>0</v>
      </c>
      <c r="Y38" s="59">
        <f t="shared" si="118"/>
        <v>0</v>
      </c>
      <c r="Z38" s="59">
        <f t="shared" si="118"/>
        <v>0</v>
      </c>
      <c r="AA38" s="59">
        <f t="shared" si="118"/>
        <v>0</v>
      </c>
      <c r="AB38" s="59">
        <f t="shared" si="118"/>
        <v>0</v>
      </c>
      <c r="AC38" s="59">
        <f t="shared" si="118"/>
        <v>0</v>
      </c>
      <c r="AD38" s="59">
        <f t="shared" si="118"/>
        <v>0</v>
      </c>
      <c r="AE38" s="59">
        <f t="shared" si="118"/>
        <v>0</v>
      </c>
      <c r="AF38" s="59">
        <f t="shared" si="118"/>
        <v>2200</v>
      </c>
      <c r="AG38" s="59">
        <f t="shared" si="118"/>
        <v>0</v>
      </c>
      <c r="AH38" s="542" t="s">
        <v>416</v>
      </c>
      <c r="AI38" s="20"/>
    </row>
    <row r="39" spans="1:35" s="22" customFormat="1" ht="51" customHeight="1" x14ac:dyDescent="0.25">
      <c r="A39" s="540"/>
      <c r="B39" s="614"/>
      <c r="C39" s="61" t="s">
        <v>52</v>
      </c>
      <c r="D39" s="62">
        <f t="shared" si="107"/>
        <v>2200</v>
      </c>
      <c r="E39" s="62">
        <f>J39+L39+N39+P39+R39+T39+V39+X39+Z39</f>
        <v>0</v>
      </c>
      <c r="F39" s="62">
        <f>G39</f>
        <v>0</v>
      </c>
      <c r="G39" s="62">
        <f>SUM(K39,M39,O39,Q39,S39,U39,W39,Y39,AA39,AC39,AE39,AG39)</f>
        <v>0</v>
      </c>
      <c r="H39" s="62">
        <f t="shared" si="116"/>
        <v>0</v>
      </c>
      <c r="I39" s="62">
        <f t="shared" si="117"/>
        <v>0</v>
      </c>
      <c r="J39" s="63">
        <v>0</v>
      </c>
      <c r="K39" s="63">
        <v>0</v>
      </c>
      <c r="L39" s="63">
        <v>0</v>
      </c>
      <c r="M39" s="63">
        <v>0</v>
      </c>
      <c r="N39" s="63">
        <v>0</v>
      </c>
      <c r="O39" s="63">
        <v>0</v>
      </c>
      <c r="P39" s="63">
        <v>0</v>
      </c>
      <c r="Q39" s="63">
        <v>0</v>
      </c>
      <c r="R39" s="63">
        <v>0</v>
      </c>
      <c r="S39" s="63">
        <v>0</v>
      </c>
      <c r="T39" s="63">
        <v>0</v>
      </c>
      <c r="U39" s="63">
        <v>0</v>
      </c>
      <c r="V39" s="63">
        <v>0</v>
      </c>
      <c r="W39" s="63">
        <v>0</v>
      </c>
      <c r="X39" s="63">
        <v>0</v>
      </c>
      <c r="Y39" s="63">
        <v>0</v>
      </c>
      <c r="Z39" s="63">
        <v>0</v>
      </c>
      <c r="AA39" s="63">
        <v>0</v>
      </c>
      <c r="AB39" s="63">
        <v>0</v>
      </c>
      <c r="AC39" s="63">
        <v>0</v>
      </c>
      <c r="AD39" s="63">
        <v>0</v>
      </c>
      <c r="AE39" s="63">
        <v>0</v>
      </c>
      <c r="AF39" s="63">
        <v>2200</v>
      </c>
      <c r="AG39" s="63">
        <v>0</v>
      </c>
      <c r="AH39" s="543"/>
      <c r="AI39" s="20"/>
    </row>
    <row r="40" spans="1:35" s="22" customFormat="1" ht="40.5" customHeight="1" x14ac:dyDescent="0.25">
      <c r="A40" s="545"/>
      <c r="B40" s="613" t="s">
        <v>413</v>
      </c>
      <c r="C40" s="57" t="s">
        <v>20</v>
      </c>
      <c r="D40" s="58">
        <f t="shared" si="107"/>
        <v>2200</v>
      </c>
      <c r="E40" s="58">
        <f t="shared" si="115"/>
        <v>0</v>
      </c>
      <c r="F40" s="58">
        <f t="shared" si="115"/>
        <v>0</v>
      </c>
      <c r="G40" s="58">
        <f t="shared" si="115"/>
        <v>0</v>
      </c>
      <c r="H40" s="58">
        <f t="shared" ref="H40:H44" si="119">IFERROR(G40/D40*100,0)</f>
        <v>0</v>
      </c>
      <c r="I40" s="58">
        <f t="shared" ref="I40:I44" si="120">IFERROR(G40/E40*100,0)</f>
        <v>0</v>
      </c>
      <c r="J40" s="59">
        <f>J41</f>
        <v>0</v>
      </c>
      <c r="K40" s="59">
        <f t="shared" si="118"/>
        <v>0</v>
      </c>
      <c r="L40" s="59">
        <f t="shared" si="118"/>
        <v>0</v>
      </c>
      <c r="M40" s="59">
        <f t="shared" si="118"/>
        <v>0</v>
      </c>
      <c r="N40" s="59">
        <f t="shared" si="118"/>
        <v>0</v>
      </c>
      <c r="O40" s="59">
        <f t="shared" si="118"/>
        <v>0</v>
      </c>
      <c r="P40" s="59">
        <f t="shared" si="118"/>
        <v>0</v>
      </c>
      <c r="Q40" s="59">
        <f t="shared" si="118"/>
        <v>0</v>
      </c>
      <c r="R40" s="59">
        <f t="shared" si="118"/>
        <v>0</v>
      </c>
      <c r="S40" s="59">
        <f t="shared" si="118"/>
        <v>0</v>
      </c>
      <c r="T40" s="59">
        <f t="shared" si="118"/>
        <v>0</v>
      </c>
      <c r="U40" s="59">
        <f t="shared" si="118"/>
        <v>0</v>
      </c>
      <c r="V40" s="59">
        <f t="shared" si="118"/>
        <v>0</v>
      </c>
      <c r="W40" s="59">
        <f t="shared" si="118"/>
        <v>0</v>
      </c>
      <c r="X40" s="59">
        <f t="shared" si="118"/>
        <v>0</v>
      </c>
      <c r="Y40" s="59">
        <f t="shared" si="118"/>
        <v>0</v>
      </c>
      <c r="Z40" s="59">
        <f t="shared" si="118"/>
        <v>0</v>
      </c>
      <c r="AA40" s="59">
        <f t="shared" si="118"/>
        <v>0</v>
      </c>
      <c r="AB40" s="59">
        <f t="shared" si="118"/>
        <v>0</v>
      </c>
      <c r="AC40" s="59">
        <f t="shared" si="118"/>
        <v>0</v>
      </c>
      <c r="AD40" s="59">
        <f t="shared" si="118"/>
        <v>0</v>
      </c>
      <c r="AE40" s="59">
        <f t="shared" si="118"/>
        <v>0</v>
      </c>
      <c r="AF40" s="59">
        <f t="shared" si="118"/>
        <v>2200</v>
      </c>
      <c r="AG40" s="59">
        <f t="shared" si="118"/>
        <v>0</v>
      </c>
      <c r="AH40" s="543"/>
      <c r="AI40" s="20"/>
    </row>
    <row r="41" spans="1:35" s="22" customFormat="1" ht="45" customHeight="1" x14ac:dyDescent="0.25">
      <c r="A41" s="594"/>
      <c r="B41" s="617"/>
      <c r="C41" s="469" t="s">
        <v>52</v>
      </c>
      <c r="D41" s="62">
        <f t="shared" si="107"/>
        <v>2200</v>
      </c>
      <c r="E41" s="62">
        <f>J41+L41+N41+P41+R41+T41+V41+X41+Z41</f>
        <v>0</v>
      </c>
      <c r="F41" s="62">
        <f>G41</f>
        <v>0</v>
      </c>
      <c r="G41" s="62">
        <f>SUM(K41,M41,O41,Q41,S41,U41,W41,Y41,AA41,AC41,AE41,AG41)</f>
        <v>0</v>
      </c>
      <c r="H41" s="62">
        <f t="shared" si="119"/>
        <v>0</v>
      </c>
      <c r="I41" s="62">
        <f t="shared" si="120"/>
        <v>0</v>
      </c>
      <c r="J41" s="63">
        <v>0</v>
      </c>
      <c r="K41" s="63">
        <v>0</v>
      </c>
      <c r="L41" s="63">
        <v>0</v>
      </c>
      <c r="M41" s="63">
        <v>0</v>
      </c>
      <c r="N41" s="63">
        <v>0</v>
      </c>
      <c r="O41" s="63">
        <v>0</v>
      </c>
      <c r="P41" s="63">
        <v>0</v>
      </c>
      <c r="Q41" s="63">
        <v>0</v>
      </c>
      <c r="R41" s="63">
        <v>0</v>
      </c>
      <c r="S41" s="63">
        <v>0</v>
      </c>
      <c r="T41" s="63">
        <v>0</v>
      </c>
      <c r="U41" s="63">
        <v>0</v>
      </c>
      <c r="V41" s="63">
        <v>0</v>
      </c>
      <c r="W41" s="63">
        <v>0</v>
      </c>
      <c r="X41" s="63">
        <v>0</v>
      </c>
      <c r="Y41" s="63">
        <v>0</v>
      </c>
      <c r="Z41" s="63">
        <v>0</v>
      </c>
      <c r="AA41" s="63">
        <v>0</v>
      </c>
      <c r="AB41" s="63">
        <v>0</v>
      </c>
      <c r="AC41" s="63">
        <v>0</v>
      </c>
      <c r="AD41" s="63">
        <v>0</v>
      </c>
      <c r="AE41" s="63">
        <v>0</v>
      </c>
      <c r="AF41" s="63">
        <v>2200</v>
      </c>
      <c r="AG41" s="63">
        <v>0</v>
      </c>
      <c r="AH41" s="544"/>
      <c r="AI41" s="20"/>
    </row>
    <row r="42" spans="1:35" s="22" customFormat="1" ht="21" x14ac:dyDescent="0.25">
      <c r="A42" s="545"/>
      <c r="B42" s="613" t="s">
        <v>414</v>
      </c>
      <c r="C42" s="57" t="s">
        <v>20</v>
      </c>
      <c r="D42" s="58">
        <f t="shared" si="107"/>
        <v>5414.6900000000005</v>
      </c>
      <c r="E42" s="58">
        <f t="shared" si="115"/>
        <v>0</v>
      </c>
      <c r="F42" s="58">
        <f t="shared" si="115"/>
        <v>0</v>
      </c>
      <c r="G42" s="58">
        <f t="shared" si="115"/>
        <v>0</v>
      </c>
      <c r="H42" s="58">
        <f t="shared" si="119"/>
        <v>0</v>
      </c>
      <c r="I42" s="58">
        <f t="shared" si="120"/>
        <v>0</v>
      </c>
      <c r="J42" s="59">
        <f>J43+J44</f>
        <v>0</v>
      </c>
      <c r="K42" s="59">
        <f t="shared" ref="K42:AF42" si="121">K43+K44</f>
        <v>0</v>
      </c>
      <c r="L42" s="59">
        <f t="shared" si="121"/>
        <v>0</v>
      </c>
      <c r="M42" s="59">
        <f t="shared" si="121"/>
        <v>0</v>
      </c>
      <c r="N42" s="59">
        <f t="shared" si="121"/>
        <v>0</v>
      </c>
      <c r="O42" s="59">
        <f t="shared" si="121"/>
        <v>0</v>
      </c>
      <c r="P42" s="59">
        <f t="shared" si="121"/>
        <v>0</v>
      </c>
      <c r="Q42" s="59">
        <f t="shared" si="121"/>
        <v>0</v>
      </c>
      <c r="R42" s="59">
        <f t="shared" si="121"/>
        <v>0</v>
      </c>
      <c r="S42" s="59">
        <f t="shared" si="121"/>
        <v>0</v>
      </c>
      <c r="T42" s="59">
        <f t="shared" si="121"/>
        <v>0</v>
      </c>
      <c r="U42" s="59">
        <f t="shared" si="121"/>
        <v>0</v>
      </c>
      <c r="V42" s="59">
        <f t="shared" si="121"/>
        <v>0</v>
      </c>
      <c r="W42" s="59">
        <f t="shared" si="121"/>
        <v>0</v>
      </c>
      <c r="X42" s="59">
        <f t="shared" si="121"/>
        <v>0</v>
      </c>
      <c r="Y42" s="59">
        <f t="shared" si="121"/>
        <v>0</v>
      </c>
      <c r="Z42" s="59">
        <f t="shared" si="121"/>
        <v>0</v>
      </c>
      <c r="AA42" s="59">
        <f t="shared" si="121"/>
        <v>0</v>
      </c>
      <c r="AB42" s="59">
        <f t="shared" si="121"/>
        <v>0</v>
      </c>
      <c r="AC42" s="59">
        <f t="shared" si="121"/>
        <v>0</v>
      </c>
      <c r="AD42" s="59">
        <f t="shared" si="121"/>
        <v>0</v>
      </c>
      <c r="AE42" s="59">
        <f t="shared" si="121"/>
        <v>0</v>
      </c>
      <c r="AF42" s="59">
        <f t="shared" si="121"/>
        <v>5414.6900000000005</v>
      </c>
      <c r="AG42" s="59">
        <f t="shared" si="118"/>
        <v>0</v>
      </c>
      <c r="AH42" s="542" t="s">
        <v>417</v>
      </c>
      <c r="AI42" s="20"/>
    </row>
    <row r="43" spans="1:35" s="22" customFormat="1" ht="31.5" x14ac:dyDescent="0.25">
      <c r="A43" s="546"/>
      <c r="B43" s="614"/>
      <c r="C43" s="469" t="s">
        <v>52</v>
      </c>
      <c r="D43" s="62">
        <f t="shared" si="107"/>
        <v>4147.42</v>
      </c>
      <c r="E43" s="62">
        <f>J43+L43+N43+P43+R43+T43+V43+X43+Z43</f>
        <v>0</v>
      </c>
      <c r="F43" s="62">
        <f>G43</f>
        <v>0</v>
      </c>
      <c r="G43" s="62">
        <f>SUM(K43,M43,O43,Q43,S43,U43,W43,Y43,AA43,AC43,AE43,AG43)</f>
        <v>0</v>
      </c>
      <c r="H43" s="62">
        <f t="shared" si="119"/>
        <v>0</v>
      </c>
      <c r="I43" s="62">
        <f t="shared" si="120"/>
        <v>0</v>
      </c>
      <c r="J43" s="63">
        <v>0</v>
      </c>
      <c r="K43" s="63">
        <v>0</v>
      </c>
      <c r="L43" s="63">
        <v>0</v>
      </c>
      <c r="M43" s="63">
        <v>0</v>
      </c>
      <c r="N43" s="63">
        <v>0</v>
      </c>
      <c r="O43" s="63">
        <v>0</v>
      </c>
      <c r="P43" s="63">
        <v>0</v>
      </c>
      <c r="Q43" s="63">
        <v>0</v>
      </c>
      <c r="R43" s="63">
        <v>0</v>
      </c>
      <c r="S43" s="63">
        <v>0</v>
      </c>
      <c r="T43" s="63">
        <v>0</v>
      </c>
      <c r="U43" s="63">
        <v>0</v>
      </c>
      <c r="V43" s="63">
        <v>0</v>
      </c>
      <c r="W43" s="63">
        <v>0</v>
      </c>
      <c r="X43" s="63">
        <v>0</v>
      </c>
      <c r="Y43" s="63">
        <v>0</v>
      </c>
      <c r="Z43" s="63">
        <v>0</v>
      </c>
      <c r="AA43" s="63">
        <v>0</v>
      </c>
      <c r="AB43" s="63">
        <v>0</v>
      </c>
      <c r="AC43" s="63">
        <v>0</v>
      </c>
      <c r="AD43" s="63">
        <v>0</v>
      </c>
      <c r="AE43" s="63">
        <v>0</v>
      </c>
      <c r="AF43" s="63">
        <v>4147.42</v>
      </c>
      <c r="AG43" s="63">
        <v>0</v>
      </c>
      <c r="AH43" s="543"/>
      <c r="AI43" s="20"/>
    </row>
    <row r="44" spans="1:35" s="22" customFormat="1" ht="31.5" x14ac:dyDescent="0.25">
      <c r="A44" s="594"/>
      <c r="B44" s="617"/>
      <c r="C44" s="469" t="s">
        <v>21</v>
      </c>
      <c r="D44" s="62">
        <f t="shared" si="107"/>
        <v>1267.27</v>
      </c>
      <c r="E44" s="62">
        <f>J44+L44+N44+P44+R44+T44+V44+X44+Z44</f>
        <v>0</v>
      </c>
      <c r="F44" s="62">
        <f>G44</f>
        <v>0</v>
      </c>
      <c r="G44" s="62">
        <f>SUM(K44,M44,O44,Q44,S44,U44,W44,Y44,AA44,AC44,AE44,AG44)</f>
        <v>0</v>
      </c>
      <c r="H44" s="62">
        <f t="shared" si="119"/>
        <v>0</v>
      </c>
      <c r="I44" s="62">
        <f t="shared" si="120"/>
        <v>0</v>
      </c>
      <c r="J44" s="63">
        <v>0</v>
      </c>
      <c r="K44" s="63">
        <v>0</v>
      </c>
      <c r="L44" s="63">
        <v>0</v>
      </c>
      <c r="M44" s="63">
        <v>0</v>
      </c>
      <c r="N44" s="63">
        <v>0</v>
      </c>
      <c r="O44" s="63">
        <v>0</v>
      </c>
      <c r="P44" s="63">
        <v>0</v>
      </c>
      <c r="Q44" s="63">
        <v>0</v>
      </c>
      <c r="R44" s="63">
        <v>0</v>
      </c>
      <c r="S44" s="63">
        <v>0</v>
      </c>
      <c r="T44" s="63">
        <v>0</v>
      </c>
      <c r="U44" s="63">
        <v>0</v>
      </c>
      <c r="V44" s="63">
        <v>0</v>
      </c>
      <c r="W44" s="63">
        <v>0</v>
      </c>
      <c r="X44" s="63">
        <v>0</v>
      </c>
      <c r="Y44" s="63">
        <v>0</v>
      </c>
      <c r="Z44" s="63">
        <v>0</v>
      </c>
      <c r="AA44" s="63">
        <v>0</v>
      </c>
      <c r="AB44" s="63">
        <v>0</v>
      </c>
      <c r="AC44" s="63">
        <v>0</v>
      </c>
      <c r="AD44" s="63">
        <v>0</v>
      </c>
      <c r="AE44" s="63">
        <v>0</v>
      </c>
      <c r="AF44" s="63">
        <v>1267.27</v>
      </c>
      <c r="AG44" s="63"/>
      <c r="AH44" s="544"/>
      <c r="AI44" s="20"/>
    </row>
    <row r="45" spans="1:35" s="18" customFormat="1" ht="21" x14ac:dyDescent="0.25">
      <c r="A45" s="539"/>
      <c r="B45" s="613" t="s">
        <v>65</v>
      </c>
      <c r="C45" s="57" t="s">
        <v>20</v>
      </c>
      <c r="D45" s="58">
        <f>D47+D46</f>
        <v>2.1</v>
      </c>
      <c r="E45" s="58">
        <f t="shared" ref="E45" si="122">E47+E46</f>
        <v>2.1</v>
      </c>
      <c r="F45" s="58">
        <f t="shared" ref="F45" si="123">F47+F46</f>
        <v>2.1</v>
      </c>
      <c r="G45" s="58">
        <f t="shared" ref="G45" si="124">G47+G46</f>
        <v>2.1</v>
      </c>
      <c r="H45" s="58">
        <f t="shared" si="116"/>
        <v>100</v>
      </c>
      <c r="I45" s="58">
        <f t="shared" si="117"/>
        <v>100</v>
      </c>
      <c r="J45" s="59">
        <f>J47+J46</f>
        <v>0</v>
      </c>
      <c r="K45" s="59">
        <f>K47+K46</f>
        <v>0</v>
      </c>
      <c r="L45" s="59">
        <f t="shared" ref="L45" si="125">L47+L46</f>
        <v>0</v>
      </c>
      <c r="M45" s="59">
        <f t="shared" ref="M45" si="126">M47+M46</f>
        <v>0</v>
      </c>
      <c r="N45" s="59">
        <f t="shared" ref="N45" si="127">N47+N46</f>
        <v>2.1</v>
      </c>
      <c r="O45" s="59">
        <f t="shared" ref="O45" si="128">O47+O46</f>
        <v>2.1</v>
      </c>
      <c r="P45" s="59">
        <f t="shared" ref="P45" si="129">P47+P46</f>
        <v>0</v>
      </c>
      <c r="Q45" s="59">
        <f t="shared" ref="Q45" si="130">Q47+Q46</f>
        <v>0</v>
      </c>
      <c r="R45" s="59">
        <f t="shared" ref="R45" si="131">R47+R46</f>
        <v>0</v>
      </c>
      <c r="S45" s="59">
        <f t="shared" ref="S45" si="132">S47+S46</f>
        <v>0</v>
      </c>
      <c r="T45" s="59">
        <f t="shared" ref="T45" si="133">T47+T46</f>
        <v>0</v>
      </c>
      <c r="U45" s="59">
        <f t="shared" ref="U45" si="134">U47+U46</f>
        <v>0</v>
      </c>
      <c r="V45" s="59">
        <f t="shared" ref="V45" si="135">V47+V46</f>
        <v>0</v>
      </c>
      <c r="W45" s="59">
        <f t="shared" ref="W45" si="136">W47+W46</f>
        <v>0</v>
      </c>
      <c r="X45" s="59">
        <f t="shared" ref="X45" si="137">X47+X46</f>
        <v>0</v>
      </c>
      <c r="Y45" s="59">
        <f t="shared" ref="Y45" si="138">Y47+Y46</f>
        <v>0</v>
      </c>
      <c r="Z45" s="59">
        <f t="shared" ref="Z45" si="139">Z47+Z46</f>
        <v>0</v>
      </c>
      <c r="AA45" s="59">
        <f t="shared" ref="AA45" si="140">AA47+AA46</f>
        <v>0</v>
      </c>
      <c r="AB45" s="59">
        <f t="shared" ref="AB45" si="141">AB47+AB46</f>
        <v>0</v>
      </c>
      <c r="AC45" s="59">
        <f t="shared" ref="AC45" si="142">AC47+AC46</f>
        <v>0</v>
      </c>
      <c r="AD45" s="59">
        <f t="shared" ref="AD45" si="143">AD47+AD46</f>
        <v>0</v>
      </c>
      <c r="AE45" s="59">
        <f t="shared" ref="AE45" si="144">AE47+AE46</f>
        <v>0</v>
      </c>
      <c r="AF45" s="59">
        <f t="shared" ref="AF45" si="145">AF47+AF46</f>
        <v>0</v>
      </c>
      <c r="AG45" s="59">
        <f t="shared" ref="AG45" si="146">AG47+AG46</f>
        <v>0</v>
      </c>
      <c r="AH45" s="514" t="s">
        <v>415</v>
      </c>
      <c r="AI45" s="19"/>
    </row>
    <row r="46" spans="1:35" s="18" customFormat="1" ht="31.5" x14ac:dyDescent="0.25">
      <c r="A46" s="540"/>
      <c r="B46" s="614"/>
      <c r="C46" s="61" t="s">
        <v>52</v>
      </c>
      <c r="D46" s="62">
        <f>SUM(J46,L46,N46,P46,R46,T46,V46,X46,Z46,AB46,AD46,AF46)</f>
        <v>0</v>
      </c>
      <c r="E46" s="62">
        <f>J46+L46+N46+P46+R46+T46+V46+X46+Z46</f>
        <v>0</v>
      </c>
      <c r="F46" s="62">
        <f>G46</f>
        <v>0</v>
      </c>
      <c r="G46" s="62">
        <f>SUM(K46,M46,O46,Q46,S46,U46,W46,Y46,AA46,AC46,AE46,AG46)</f>
        <v>0</v>
      </c>
      <c r="H46" s="62">
        <f>IFERROR(G46/D46*100,0)</f>
        <v>0</v>
      </c>
      <c r="I46" s="62">
        <f>IFERROR(G46/E46*100,0)</f>
        <v>0</v>
      </c>
      <c r="J46" s="63">
        <v>0</v>
      </c>
      <c r="K46" s="63">
        <v>0</v>
      </c>
      <c r="L46" s="63">
        <v>0</v>
      </c>
      <c r="M46" s="63">
        <v>0</v>
      </c>
      <c r="N46" s="63">
        <v>0</v>
      </c>
      <c r="O46" s="63">
        <v>0</v>
      </c>
      <c r="P46" s="63">
        <v>0</v>
      </c>
      <c r="Q46" s="63">
        <v>0</v>
      </c>
      <c r="R46" s="63">
        <v>0</v>
      </c>
      <c r="S46" s="63">
        <v>0</v>
      </c>
      <c r="T46" s="63">
        <v>0</v>
      </c>
      <c r="U46" s="63">
        <v>0</v>
      </c>
      <c r="V46" s="63">
        <v>0</v>
      </c>
      <c r="W46" s="63">
        <v>0</v>
      </c>
      <c r="X46" s="63">
        <v>0</v>
      </c>
      <c r="Y46" s="63">
        <v>0</v>
      </c>
      <c r="Z46" s="63">
        <v>0</v>
      </c>
      <c r="AA46" s="63">
        <v>0</v>
      </c>
      <c r="AB46" s="63">
        <v>0</v>
      </c>
      <c r="AC46" s="63">
        <v>0</v>
      </c>
      <c r="AD46" s="63">
        <v>0</v>
      </c>
      <c r="AE46" s="63">
        <v>0</v>
      </c>
      <c r="AF46" s="63">
        <v>0</v>
      </c>
      <c r="AG46" s="63">
        <v>0</v>
      </c>
      <c r="AH46" s="515"/>
      <c r="AI46" s="19"/>
    </row>
    <row r="47" spans="1:35" s="18" customFormat="1" ht="47.25" x14ac:dyDescent="0.25">
      <c r="A47" s="541"/>
      <c r="B47" s="614"/>
      <c r="C47" s="61" t="s">
        <v>22</v>
      </c>
      <c r="D47" s="62">
        <f>SUM(J47,L47,N47,P47,R47,T47,V47,X47,Z47,AB47,AD47,AF47)</f>
        <v>2.1</v>
      </c>
      <c r="E47" s="62">
        <f>J47+L47+N47+P47+R47+T47+V47+X47+Z47</f>
        <v>2.1</v>
      </c>
      <c r="F47" s="62">
        <f>G47</f>
        <v>2.1</v>
      </c>
      <c r="G47" s="62">
        <f>SUM(K47,M47,O47,Q47,S47,U47,W47,Y47,AA47,AC47,AE47,AG47)</f>
        <v>2.1</v>
      </c>
      <c r="H47" s="62">
        <f>IFERROR(G47/D47*100,0)</f>
        <v>100</v>
      </c>
      <c r="I47" s="62">
        <f>IFERROR(G47/E47*100,0)</f>
        <v>100</v>
      </c>
      <c r="J47" s="63">
        <v>0</v>
      </c>
      <c r="K47" s="63">
        <v>0</v>
      </c>
      <c r="L47" s="63">
        <v>0</v>
      </c>
      <c r="M47" s="63">
        <v>0</v>
      </c>
      <c r="N47" s="63">
        <v>2.1</v>
      </c>
      <c r="O47" s="63">
        <v>2.1</v>
      </c>
      <c r="P47" s="63">
        <v>0</v>
      </c>
      <c r="Q47" s="63">
        <v>0</v>
      </c>
      <c r="R47" s="63">
        <v>0</v>
      </c>
      <c r="S47" s="63">
        <v>0</v>
      </c>
      <c r="T47" s="63">
        <v>0</v>
      </c>
      <c r="U47" s="63">
        <v>0</v>
      </c>
      <c r="V47" s="63">
        <v>0</v>
      </c>
      <c r="W47" s="63">
        <v>0</v>
      </c>
      <c r="X47" s="63">
        <v>0</v>
      </c>
      <c r="Y47" s="63">
        <v>0</v>
      </c>
      <c r="Z47" s="63">
        <v>0</v>
      </c>
      <c r="AA47" s="63">
        <v>0</v>
      </c>
      <c r="AB47" s="63">
        <v>0</v>
      </c>
      <c r="AC47" s="63">
        <v>0</v>
      </c>
      <c r="AD47" s="63">
        <v>0</v>
      </c>
      <c r="AE47" s="63">
        <v>0</v>
      </c>
      <c r="AF47" s="63">
        <v>0</v>
      </c>
      <c r="AG47" s="63">
        <v>0</v>
      </c>
      <c r="AH47" s="516"/>
      <c r="AI47" s="19"/>
    </row>
    <row r="48" spans="1:35" s="28" customFormat="1" ht="21" customHeight="1" x14ac:dyDescent="0.25">
      <c r="A48" s="89"/>
      <c r="B48" s="596" t="s">
        <v>32</v>
      </c>
      <c r="C48" s="597"/>
      <c r="D48" s="597"/>
      <c r="E48" s="597"/>
      <c r="F48" s="597"/>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597"/>
      <c r="AG48" s="598"/>
      <c r="AH48" s="43"/>
      <c r="AI48" s="27"/>
    </row>
    <row r="49" spans="1:35" s="30" customFormat="1" ht="27" customHeight="1" x14ac:dyDescent="0.25">
      <c r="A49" s="588" t="s">
        <v>68</v>
      </c>
      <c r="B49" s="591" t="s">
        <v>34</v>
      </c>
      <c r="C49" s="81" t="s">
        <v>20</v>
      </c>
      <c r="D49" s="82">
        <f>D50</f>
        <v>29078.516</v>
      </c>
      <c r="E49" s="82">
        <f t="shared" ref="E49:G49" si="147">E50</f>
        <v>22760.888999999999</v>
      </c>
      <c r="F49" s="82">
        <f t="shared" si="147"/>
        <v>21213.745999999999</v>
      </c>
      <c r="G49" s="82">
        <f t="shared" si="147"/>
        <v>21213.745999999999</v>
      </c>
      <c r="H49" s="82">
        <f t="shared" ref="H49:H58" si="148">IFERROR(G49/D49*100,0)</f>
        <v>72.953330905882538</v>
      </c>
      <c r="I49" s="82">
        <f t="shared" ref="I49:I58" si="149">IFERROR(G49/E49*100,0)</f>
        <v>93.20262490625916</v>
      </c>
      <c r="J49" s="83">
        <f t="shared" ref="J49:AG49" si="150">SUM(J50:J50)</f>
        <v>4244.8339999999998</v>
      </c>
      <c r="K49" s="83">
        <f t="shared" si="150"/>
        <v>1885.85</v>
      </c>
      <c r="L49" s="83">
        <f t="shared" si="150"/>
        <v>2510.96</v>
      </c>
      <c r="M49" s="83">
        <f t="shared" si="150"/>
        <v>2741.24</v>
      </c>
      <c r="N49" s="83">
        <f t="shared" si="150"/>
        <v>1590.85</v>
      </c>
      <c r="O49" s="83">
        <f t="shared" si="150"/>
        <v>1950.12</v>
      </c>
      <c r="P49" s="83">
        <f t="shared" si="150"/>
        <v>3069.6410000000001</v>
      </c>
      <c r="Q49" s="83">
        <f t="shared" si="150"/>
        <v>2079.75</v>
      </c>
      <c r="R49" s="83">
        <f t="shared" si="150"/>
        <v>2283.9940000000001</v>
      </c>
      <c r="S49" s="83">
        <f t="shared" si="150"/>
        <v>2539.58</v>
      </c>
      <c r="T49" s="83">
        <f t="shared" si="150"/>
        <v>1683.15</v>
      </c>
      <c r="U49" s="83">
        <f t="shared" si="150"/>
        <v>2597.2660000000001</v>
      </c>
      <c r="V49" s="83">
        <f t="shared" si="150"/>
        <v>3039.6460000000002</v>
      </c>
      <c r="W49" s="83">
        <f t="shared" si="150"/>
        <v>3129.89</v>
      </c>
      <c r="X49" s="83">
        <f t="shared" si="150"/>
        <v>2294.9940000000001</v>
      </c>
      <c r="Y49" s="83">
        <f t="shared" si="150"/>
        <v>1686.0900000000001</v>
      </c>
      <c r="Z49" s="83">
        <f t="shared" si="150"/>
        <v>2042.8200000000002</v>
      </c>
      <c r="AA49" s="83">
        <f t="shared" si="150"/>
        <v>2603.96</v>
      </c>
      <c r="AB49" s="83">
        <f t="shared" si="150"/>
        <v>2498.6469999999999</v>
      </c>
      <c r="AC49" s="83">
        <f t="shared" si="150"/>
        <v>0</v>
      </c>
      <c r="AD49" s="83">
        <f t="shared" si="150"/>
        <v>2120.52</v>
      </c>
      <c r="AE49" s="83">
        <f t="shared" si="150"/>
        <v>0</v>
      </c>
      <c r="AF49" s="83">
        <f t="shared" si="150"/>
        <v>1698.46</v>
      </c>
      <c r="AG49" s="83">
        <f t="shared" si="150"/>
        <v>0</v>
      </c>
      <c r="AH49" s="533"/>
      <c r="AI49" s="29"/>
    </row>
    <row r="50" spans="1:35" s="31" customFormat="1" ht="72" customHeight="1" x14ac:dyDescent="0.25">
      <c r="A50" s="590"/>
      <c r="B50" s="593"/>
      <c r="C50" s="73" t="s">
        <v>21</v>
      </c>
      <c r="D50" s="74">
        <f>SUM(J50,L50,N50,P50,R50,T50,V50,X50,Z50,AB50,AD50,AF50)</f>
        <v>29078.516</v>
      </c>
      <c r="E50" s="74">
        <f>J50+L50+N50+P50+R50+T50+V50+X50+Z50</f>
        <v>22760.888999999999</v>
      </c>
      <c r="F50" s="74">
        <f>G50</f>
        <v>21213.745999999999</v>
      </c>
      <c r="G50" s="74">
        <f>SUM(K50,M50,O50,Q50,S50,U50,W50,Y50,AA50,AC50,AE50,AG50)</f>
        <v>21213.745999999999</v>
      </c>
      <c r="H50" s="74">
        <f t="shared" si="148"/>
        <v>72.953330905882538</v>
      </c>
      <c r="I50" s="74">
        <f>IFERROR(G50/E50*100,0)</f>
        <v>93.20262490625916</v>
      </c>
      <c r="J50" s="67">
        <f>J52+J54</f>
        <v>4244.8339999999998</v>
      </c>
      <c r="K50" s="67">
        <f t="shared" ref="K50:AG50" si="151">K52+K54</f>
        <v>1885.85</v>
      </c>
      <c r="L50" s="67">
        <f t="shared" si="151"/>
        <v>2510.96</v>
      </c>
      <c r="M50" s="67">
        <f t="shared" si="151"/>
        <v>2741.24</v>
      </c>
      <c r="N50" s="67">
        <f t="shared" si="151"/>
        <v>1590.85</v>
      </c>
      <c r="O50" s="67">
        <f t="shared" si="151"/>
        <v>1950.12</v>
      </c>
      <c r="P50" s="67">
        <f t="shared" si="151"/>
        <v>3069.6410000000001</v>
      </c>
      <c r="Q50" s="67">
        <f t="shared" si="151"/>
        <v>2079.75</v>
      </c>
      <c r="R50" s="67">
        <f t="shared" si="151"/>
        <v>2283.9940000000001</v>
      </c>
      <c r="S50" s="67">
        <f t="shared" si="151"/>
        <v>2539.58</v>
      </c>
      <c r="T50" s="67">
        <f t="shared" si="151"/>
        <v>1683.15</v>
      </c>
      <c r="U50" s="67">
        <f t="shared" si="151"/>
        <v>2597.2660000000001</v>
      </c>
      <c r="V50" s="67">
        <f t="shared" si="151"/>
        <v>3039.6460000000002</v>
      </c>
      <c r="W50" s="67">
        <f t="shared" si="151"/>
        <v>3129.89</v>
      </c>
      <c r="X50" s="67">
        <f t="shared" si="151"/>
        <v>2294.9940000000001</v>
      </c>
      <c r="Y50" s="67">
        <f t="shared" si="151"/>
        <v>1686.0900000000001</v>
      </c>
      <c r="Z50" s="67">
        <f t="shared" si="151"/>
        <v>2042.8200000000002</v>
      </c>
      <c r="AA50" s="67">
        <f t="shared" si="151"/>
        <v>2603.96</v>
      </c>
      <c r="AB50" s="67">
        <f t="shared" si="151"/>
        <v>2498.6469999999999</v>
      </c>
      <c r="AC50" s="67">
        <f t="shared" si="151"/>
        <v>0</v>
      </c>
      <c r="AD50" s="67">
        <f t="shared" si="151"/>
        <v>2120.52</v>
      </c>
      <c r="AE50" s="67">
        <f t="shared" si="151"/>
        <v>0</v>
      </c>
      <c r="AF50" s="67">
        <f t="shared" si="151"/>
        <v>1698.46</v>
      </c>
      <c r="AG50" s="67">
        <f t="shared" si="151"/>
        <v>0</v>
      </c>
      <c r="AH50" s="535"/>
      <c r="AI50" s="29"/>
    </row>
    <row r="51" spans="1:35" s="10" customFormat="1" ht="18.75" customHeight="1" x14ac:dyDescent="0.25">
      <c r="A51" s="569"/>
      <c r="B51" s="613" t="s">
        <v>69</v>
      </c>
      <c r="C51" s="69" t="s">
        <v>20</v>
      </c>
      <c r="D51" s="70">
        <f>D52</f>
        <v>10223.905000000001</v>
      </c>
      <c r="E51" s="70">
        <f t="shared" ref="E51" si="152">E52</f>
        <v>7899.8940000000002</v>
      </c>
      <c r="F51" s="70">
        <f t="shared" ref="F51" si="153">F52</f>
        <v>6725.8660000000009</v>
      </c>
      <c r="G51" s="70">
        <f t="shared" ref="G51" si="154">G52</f>
        <v>6725.8660000000009</v>
      </c>
      <c r="H51" s="70">
        <f t="shared" si="148"/>
        <v>65.78568560642924</v>
      </c>
      <c r="I51" s="70">
        <f t="shared" si="149"/>
        <v>85.13868667098572</v>
      </c>
      <c r="J51" s="71">
        <f t="shared" ref="J51:AG51" si="155">SUM(J52:J52)</f>
        <v>1487.683</v>
      </c>
      <c r="K51" s="71">
        <f t="shared" si="155"/>
        <v>585.05999999999995</v>
      </c>
      <c r="L51" s="71">
        <f t="shared" si="155"/>
        <v>878.49800000000005</v>
      </c>
      <c r="M51" s="71">
        <f t="shared" si="155"/>
        <v>916.68000000000006</v>
      </c>
      <c r="N51" s="71">
        <f t="shared" si="155"/>
        <v>590.38</v>
      </c>
      <c r="O51" s="71">
        <f t="shared" si="155"/>
        <v>565.49</v>
      </c>
      <c r="P51" s="71">
        <f t="shared" si="155"/>
        <v>1097.04</v>
      </c>
      <c r="Q51" s="71">
        <f t="shared" si="155"/>
        <v>815.7</v>
      </c>
      <c r="R51" s="71">
        <f t="shared" si="155"/>
        <v>799.24400000000003</v>
      </c>
      <c r="S51" s="71">
        <f t="shared" si="155"/>
        <v>632.48</v>
      </c>
      <c r="T51" s="71">
        <f t="shared" si="155"/>
        <v>590.38</v>
      </c>
      <c r="U51" s="71">
        <f t="shared" si="155"/>
        <v>869.41600000000005</v>
      </c>
      <c r="V51" s="71">
        <f t="shared" si="155"/>
        <v>1067.0450000000001</v>
      </c>
      <c r="W51" s="71">
        <f t="shared" si="155"/>
        <v>1040.23</v>
      </c>
      <c r="X51" s="71">
        <f t="shared" si="155"/>
        <v>799.24400000000003</v>
      </c>
      <c r="Y51" s="71">
        <f t="shared" si="155"/>
        <v>505.92</v>
      </c>
      <c r="Z51" s="71">
        <f t="shared" si="155"/>
        <v>590.38</v>
      </c>
      <c r="AA51" s="71">
        <f t="shared" si="155"/>
        <v>794.89</v>
      </c>
      <c r="AB51" s="71">
        <f t="shared" si="155"/>
        <v>875.51099999999997</v>
      </c>
      <c r="AC51" s="71">
        <f t="shared" si="155"/>
        <v>0</v>
      </c>
      <c r="AD51" s="71">
        <f t="shared" si="155"/>
        <v>741.31</v>
      </c>
      <c r="AE51" s="71">
        <f t="shared" si="155"/>
        <v>0</v>
      </c>
      <c r="AF51" s="71">
        <f t="shared" si="155"/>
        <v>707.19</v>
      </c>
      <c r="AG51" s="71">
        <f t="shared" si="155"/>
        <v>0</v>
      </c>
      <c r="AH51" s="533"/>
    </row>
    <row r="52" spans="1:35" s="10" customFormat="1" ht="31.5" x14ac:dyDescent="0.25">
      <c r="A52" s="570"/>
      <c r="B52" s="614"/>
      <c r="C52" s="73" t="s">
        <v>21</v>
      </c>
      <c r="D52" s="74">
        <f>SUM(J52,L52,N52,P52,R52,T52,V52,X52,Z52,AB52,AD52,AF52)</f>
        <v>10223.905000000001</v>
      </c>
      <c r="E52" s="74">
        <f>J52+L52+N52+P52+R52+T52+V52+X52+Z52</f>
        <v>7899.8940000000002</v>
      </c>
      <c r="F52" s="74">
        <f>G52</f>
        <v>6725.8660000000009</v>
      </c>
      <c r="G52" s="74">
        <f>SUM(K52,M52,O52,Q52,S52,U52,W52,Y52,AA52,AC52,AE52,AG52)</f>
        <v>6725.8660000000009</v>
      </c>
      <c r="H52" s="74">
        <f t="shared" si="148"/>
        <v>65.78568560642924</v>
      </c>
      <c r="I52" s="74">
        <f t="shared" si="149"/>
        <v>85.13868667098572</v>
      </c>
      <c r="J52" s="67">
        <v>1487.683</v>
      </c>
      <c r="K52" s="67">
        <v>585.05999999999995</v>
      </c>
      <c r="L52" s="67">
        <v>878.49800000000005</v>
      </c>
      <c r="M52" s="67">
        <f>651.5+265.18</f>
        <v>916.68000000000006</v>
      </c>
      <c r="N52" s="67">
        <v>590.38</v>
      </c>
      <c r="O52" s="67">
        <f>165.52+399.97</f>
        <v>565.49</v>
      </c>
      <c r="P52" s="67">
        <v>1097.04</v>
      </c>
      <c r="Q52" s="67">
        <v>815.7</v>
      </c>
      <c r="R52" s="67">
        <v>799.24400000000003</v>
      </c>
      <c r="S52" s="67">
        <v>632.48</v>
      </c>
      <c r="T52" s="67">
        <v>590.38</v>
      </c>
      <c r="U52" s="67">
        <v>869.41600000000005</v>
      </c>
      <c r="V52" s="67">
        <v>1067.0450000000001</v>
      </c>
      <c r="W52" s="67">
        <v>1040.23</v>
      </c>
      <c r="X52" s="67">
        <v>799.24400000000003</v>
      </c>
      <c r="Y52" s="67">
        <v>505.92</v>
      </c>
      <c r="Z52" s="67">
        <v>590.38</v>
      </c>
      <c r="AA52" s="67">
        <v>794.89</v>
      </c>
      <c r="AB52" s="67">
        <v>875.51099999999997</v>
      </c>
      <c r="AC52" s="67">
        <v>0</v>
      </c>
      <c r="AD52" s="67">
        <v>741.31</v>
      </c>
      <c r="AE52" s="67">
        <v>0</v>
      </c>
      <c r="AF52" s="67">
        <v>707.19</v>
      </c>
      <c r="AG52" s="67">
        <v>0</v>
      </c>
      <c r="AH52" s="535"/>
    </row>
    <row r="53" spans="1:35" s="10" customFormat="1" ht="15.75" x14ac:dyDescent="0.25">
      <c r="A53" s="569"/>
      <c r="B53" s="619" t="s">
        <v>70</v>
      </c>
      <c r="C53" s="69" t="s">
        <v>20</v>
      </c>
      <c r="D53" s="70">
        <f>D54</f>
        <v>18854.611000000001</v>
      </c>
      <c r="E53" s="70">
        <f t="shared" ref="E53" si="156">E54</f>
        <v>14860.995000000001</v>
      </c>
      <c r="F53" s="70">
        <f t="shared" ref="F53" si="157">F54</f>
        <v>14487.88</v>
      </c>
      <c r="G53" s="70">
        <f t="shared" ref="G53" si="158">G54</f>
        <v>14487.88</v>
      </c>
      <c r="H53" s="70">
        <f t="shared" si="148"/>
        <v>76.839983598706965</v>
      </c>
      <c r="I53" s="70">
        <f t="shared" si="149"/>
        <v>97.489300009858013</v>
      </c>
      <c r="J53" s="71">
        <f t="shared" ref="J53:AG53" si="159">SUM(J54:J54)</f>
        <v>2757.1509999999998</v>
      </c>
      <c r="K53" s="71">
        <f t="shared" si="159"/>
        <v>1300.79</v>
      </c>
      <c r="L53" s="71">
        <f t="shared" si="159"/>
        <v>1632.462</v>
      </c>
      <c r="M53" s="71">
        <f t="shared" si="159"/>
        <v>1824.56</v>
      </c>
      <c r="N53" s="71">
        <f t="shared" si="159"/>
        <v>1000.47</v>
      </c>
      <c r="O53" s="71">
        <f t="shared" si="159"/>
        <v>1384.6299999999999</v>
      </c>
      <c r="P53" s="71">
        <f t="shared" si="159"/>
        <v>1972.6010000000001</v>
      </c>
      <c r="Q53" s="71">
        <f t="shared" si="159"/>
        <v>1264.05</v>
      </c>
      <c r="R53" s="71">
        <f t="shared" si="159"/>
        <v>1484.75</v>
      </c>
      <c r="S53" s="71">
        <f t="shared" si="159"/>
        <v>1907.1</v>
      </c>
      <c r="T53" s="71">
        <f t="shared" si="159"/>
        <v>1092.77</v>
      </c>
      <c r="U53" s="71">
        <f t="shared" si="159"/>
        <v>1727.85</v>
      </c>
      <c r="V53" s="71">
        <f t="shared" si="159"/>
        <v>1972.6010000000001</v>
      </c>
      <c r="W53" s="71">
        <f t="shared" si="159"/>
        <v>2089.66</v>
      </c>
      <c r="X53" s="71">
        <f t="shared" si="159"/>
        <v>1495.75</v>
      </c>
      <c r="Y53" s="71">
        <f t="shared" si="159"/>
        <v>1180.17</v>
      </c>
      <c r="Z53" s="71">
        <f t="shared" si="159"/>
        <v>1452.44</v>
      </c>
      <c r="AA53" s="71">
        <f t="shared" si="159"/>
        <v>1809.07</v>
      </c>
      <c r="AB53" s="71">
        <f t="shared" si="159"/>
        <v>1623.136</v>
      </c>
      <c r="AC53" s="71">
        <f t="shared" si="159"/>
        <v>0</v>
      </c>
      <c r="AD53" s="71">
        <f t="shared" si="159"/>
        <v>1379.21</v>
      </c>
      <c r="AE53" s="71">
        <f t="shared" si="159"/>
        <v>0</v>
      </c>
      <c r="AF53" s="71">
        <f t="shared" si="159"/>
        <v>991.27</v>
      </c>
      <c r="AG53" s="71">
        <f t="shared" si="159"/>
        <v>0</v>
      </c>
      <c r="AH53" s="578" t="s">
        <v>346</v>
      </c>
    </row>
    <row r="54" spans="1:35" s="10" customFormat="1" ht="31.5" x14ac:dyDescent="0.25">
      <c r="A54" s="570"/>
      <c r="B54" s="619"/>
      <c r="C54" s="73" t="s">
        <v>21</v>
      </c>
      <c r="D54" s="74">
        <f>SUM(J54,L54,N54,P54,R54,T54,V54,X54,Z54,AB54,AD54,AF54)</f>
        <v>18854.611000000001</v>
      </c>
      <c r="E54" s="74">
        <f>J54+L54+N54+P54+R54+T54+V54+X54+Z54</f>
        <v>14860.995000000001</v>
      </c>
      <c r="F54" s="74">
        <f>G54</f>
        <v>14487.88</v>
      </c>
      <c r="G54" s="74">
        <f>SUM(K54,M54,O54,Q54,S54,U54,W54,Y54,AA54,AC54,AE54,AG54)</f>
        <v>14487.88</v>
      </c>
      <c r="H54" s="74">
        <f t="shared" si="148"/>
        <v>76.839983598706965</v>
      </c>
      <c r="I54" s="74">
        <f t="shared" si="149"/>
        <v>97.489300009858013</v>
      </c>
      <c r="J54" s="67">
        <v>2757.1509999999998</v>
      </c>
      <c r="K54" s="67">
        <v>1300.79</v>
      </c>
      <c r="L54" s="67">
        <v>1632.462</v>
      </c>
      <c r="M54" s="67">
        <f>578.82+1245.74</f>
        <v>1824.56</v>
      </c>
      <c r="N54" s="67">
        <v>1000.47</v>
      </c>
      <c r="O54" s="67">
        <f>305.35+1065.25+14.03</f>
        <v>1384.6299999999999</v>
      </c>
      <c r="P54" s="67">
        <v>1972.6010000000001</v>
      </c>
      <c r="Q54" s="67">
        <v>1264.05</v>
      </c>
      <c r="R54" s="67">
        <v>1484.75</v>
      </c>
      <c r="S54" s="67">
        <v>1907.1</v>
      </c>
      <c r="T54" s="67">
        <v>1092.77</v>
      </c>
      <c r="U54" s="67">
        <v>1727.85</v>
      </c>
      <c r="V54" s="67">
        <v>1972.6010000000001</v>
      </c>
      <c r="W54" s="67">
        <v>2089.66</v>
      </c>
      <c r="X54" s="67">
        <v>1495.75</v>
      </c>
      <c r="Y54" s="67">
        <v>1180.17</v>
      </c>
      <c r="Z54" s="67">
        <v>1452.44</v>
      </c>
      <c r="AA54" s="67">
        <v>1809.07</v>
      </c>
      <c r="AB54" s="67">
        <v>1623.136</v>
      </c>
      <c r="AC54" s="67">
        <v>0</v>
      </c>
      <c r="AD54" s="67">
        <v>1379.21</v>
      </c>
      <c r="AE54" s="67">
        <v>0</v>
      </c>
      <c r="AF54" s="67">
        <v>991.27</v>
      </c>
      <c r="AG54" s="67">
        <v>0</v>
      </c>
      <c r="AH54" s="579"/>
    </row>
    <row r="55" spans="1:35" ht="15.75" x14ac:dyDescent="0.25">
      <c r="A55" s="588" t="s">
        <v>71</v>
      </c>
      <c r="B55" s="591" t="s">
        <v>72</v>
      </c>
      <c r="C55" s="81" t="s">
        <v>20</v>
      </c>
      <c r="D55" s="82">
        <f>D56</f>
        <v>85238.720000000001</v>
      </c>
      <c r="E55" s="82">
        <f t="shared" ref="E55" si="160">E56</f>
        <v>63347.15</v>
      </c>
      <c r="F55" s="82">
        <f t="shared" ref="F55" si="161">F56</f>
        <v>57901.409999999996</v>
      </c>
      <c r="G55" s="82">
        <f t="shared" ref="G55" si="162">G56</f>
        <v>57901.409999999996</v>
      </c>
      <c r="H55" s="82">
        <f t="shared" si="148"/>
        <v>67.928530602055019</v>
      </c>
      <c r="I55" s="82">
        <f t="shared" si="149"/>
        <v>91.40333858745025</v>
      </c>
      <c r="J55" s="83">
        <f t="shared" ref="J55:AG55" si="163">SUM(J56:J56)</f>
        <v>6354.62</v>
      </c>
      <c r="K55" s="83">
        <f t="shared" si="163"/>
        <v>6145.18</v>
      </c>
      <c r="L55" s="83">
        <f t="shared" si="163"/>
        <v>8341.69</v>
      </c>
      <c r="M55" s="83">
        <f t="shared" si="163"/>
        <v>7922.46</v>
      </c>
      <c r="N55" s="83">
        <f t="shared" si="163"/>
        <v>5571.74</v>
      </c>
      <c r="O55" s="83">
        <f t="shared" si="163"/>
        <v>5202.1099999999997</v>
      </c>
      <c r="P55" s="83">
        <f t="shared" si="163"/>
        <v>6530.21</v>
      </c>
      <c r="Q55" s="83">
        <f t="shared" si="163"/>
        <v>6608.99</v>
      </c>
      <c r="R55" s="83">
        <f t="shared" si="163"/>
        <v>6120.86</v>
      </c>
      <c r="S55" s="83">
        <f t="shared" si="163"/>
        <v>5154.75</v>
      </c>
      <c r="T55" s="83">
        <f t="shared" si="163"/>
        <v>7656.38</v>
      </c>
      <c r="U55" s="83">
        <f t="shared" si="163"/>
        <v>5811.46</v>
      </c>
      <c r="V55" s="83">
        <f t="shared" si="163"/>
        <v>9063.01</v>
      </c>
      <c r="W55" s="83">
        <f t="shared" si="163"/>
        <v>6932.08</v>
      </c>
      <c r="X55" s="83">
        <f t="shared" si="163"/>
        <v>7207.64</v>
      </c>
      <c r="Y55" s="83">
        <f t="shared" si="163"/>
        <v>6349.42</v>
      </c>
      <c r="Z55" s="83">
        <f t="shared" si="163"/>
        <v>6501</v>
      </c>
      <c r="AA55" s="83">
        <f t="shared" si="163"/>
        <v>7774.96</v>
      </c>
      <c r="AB55" s="83">
        <f t="shared" si="163"/>
        <v>7586.9</v>
      </c>
      <c r="AC55" s="83">
        <f t="shared" si="163"/>
        <v>0</v>
      </c>
      <c r="AD55" s="83">
        <f t="shared" si="163"/>
        <v>6037.22</v>
      </c>
      <c r="AE55" s="83">
        <f t="shared" si="163"/>
        <v>0</v>
      </c>
      <c r="AF55" s="83">
        <f t="shared" si="163"/>
        <v>8267.4500000000007</v>
      </c>
      <c r="AG55" s="83">
        <f t="shared" si="163"/>
        <v>0</v>
      </c>
      <c r="AH55" s="533"/>
    </row>
    <row r="56" spans="1:35" ht="96" customHeight="1" x14ac:dyDescent="0.25">
      <c r="A56" s="590"/>
      <c r="B56" s="593"/>
      <c r="C56" s="73" t="s">
        <v>21</v>
      </c>
      <c r="D56" s="74">
        <f>SUM(J56,L56,N56,P56,R56,T56,V56,X56,Z56,AB56,AD56,AF56)</f>
        <v>85238.720000000001</v>
      </c>
      <c r="E56" s="74">
        <f>J56+L56+N56+P56+R56+T56+V56+X56+Z56</f>
        <v>63347.15</v>
      </c>
      <c r="F56" s="74">
        <f>G56</f>
        <v>57901.409999999996</v>
      </c>
      <c r="G56" s="74">
        <f>SUM(K56,M56,O56,Q56,S56,U56,W56,Y56,AA56,AC56,AE56,AG56)</f>
        <v>57901.409999999996</v>
      </c>
      <c r="H56" s="74">
        <f t="shared" si="148"/>
        <v>67.928530602055019</v>
      </c>
      <c r="I56" s="74">
        <f t="shared" si="149"/>
        <v>91.40333858745025</v>
      </c>
      <c r="J56" s="67">
        <f>J58+J60</f>
        <v>6354.62</v>
      </c>
      <c r="K56" s="67">
        <f t="shared" ref="K56:AG56" si="164">K58+K60</f>
        <v>6145.18</v>
      </c>
      <c r="L56" s="67">
        <f t="shared" si="164"/>
        <v>8341.69</v>
      </c>
      <c r="M56" s="67">
        <f t="shared" si="164"/>
        <v>7922.46</v>
      </c>
      <c r="N56" s="67">
        <f t="shared" si="164"/>
        <v>5571.74</v>
      </c>
      <c r="O56" s="67">
        <f t="shared" si="164"/>
        <v>5202.1099999999997</v>
      </c>
      <c r="P56" s="67">
        <f t="shared" si="164"/>
        <v>6530.21</v>
      </c>
      <c r="Q56" s="67">
        <f t="shared" si="164"/>
        <v>6608.99</v>
      </c>
      <c r="R56" s="67">
        <f t="shared" si="164"/>
        <v>6120.86</v>
      </c>
      <c r="S56" s="67">
        <f t="shared" si="164"/>
        <v>5154.75</v>
      </c>
      <c r="T56" s="67">
        <f t="shared" si="164"/>
        <v>7656.38</v>
      </c>
      <c r="U56" s="67">
        <f t="shared" si="164"/>
        <v>5811.46</v>
      </c>
      <c r="V56" s="67">
        <f t="shared" si="164"/>
        <v>9063.01</v>
      </c>
      <c r="W56" s="67">
        <f t="shared" si="164"/>
        <v>6932.08</v>
      </c>
      <c r="X56" s="67">
        <f t="shared" si="164"/>
        <v>7207.64</v>
      </c>
      <c r="Y56" s="67">
        <f t="shared" si="164"/>
        <v>6349.42</v>
      </c>
      <c r="Z56" s="67">
        <f t="shared" si="164"/>
        <v>6501</v>
      </c>
      <c r="AA56" s="67">
        <f t="shared" si="164"/>
        <v>7774.96</v>
      </c>
      <c r="AB56" s="67">
        <f t="shared" si="164"/>
        <v>7586.9</v>
      </c>
      <c r="AC56" s="67">
        <f t="shared" si="164"/>
        <v>0</v>
      </c>
      <c r="AD56" s="67">
        <f t="shared" si="164"/>
        <v>6037.22</v>
      </c>
      <c r="AE56" s="67">
        <f t="shared" si="164"/>
        <v>0</v>
      </c>
      <c r="AF56" s="67">
        <f t="shared" si="164"/>
        <v>8267.4500000000007</v>
      </c>
      <c r="AG56" s="67">
        <f t="shared" si="164"/>
        <v>0</v>
      </c>
      <c r="AH56" s="535"/>
    </row>
    <row r="57" spans="1:35" ht="15.75" x14ac:dyDescent="0.25">
      <c r="A57" s="569"/>
      <c r="B57" s="619" t="s">
        <v>73</v>
      </c>
      <c r="C57" s="69" t="s">
        <v>20</v>
      </c>
      <c r="D57" s="70">
        <f>D58</f>
        <v>85238.720000000001</v>
      </c>
      <c r="E57" s="70">
        <f t="shared" ref="E57" si="165">E58</f>
        <v>63347.15</v>
      </c>
      <c r="F57" s="70">
        <f t="shared" ref="F57" si="166">F58</f>
        <v>57901.409999999996</v>
      </c>
      <c r="G57" s="70">
        <f t="shared" ref="G57" si="167">G58</f>
        <v>57901.409999999996</v>
      </c>
      <c r="H57" s="70">
        <f t="shared" si="148"/>
        <v>67.928530602055019</v>
      </c>
      <c r="I57" s="70">
        <f t="shared" si="149"/>
        <v>91.40333858745025</v>
      </c>
      <c r="J57" s="71">
        <f t="shared" ref="J57:AG57" si="168">SUM(J58:J58)</f>
        <v>6354.62</v>
      </c>
      <c r="K57" s="71">
        <f t="shared" si="168"/>
        <v>6145.18</v>
      </c>
      <c r="L57" s="71">
        <f t="shared" si="168"/>
        <v>8341.69</v>
      </c>
      <c r="M57" s="71">
        <f t="shared" si="168"/>
        <v>7922.46</v>
      </c>
      <c r="N57" s="71">
        <f t="shared" si="168"/>
        <v>5571.74</v>
      </c>
      <c r="O57" s="71">
        <f t="shared" si="168"/>
        <v>5202.1099999999997</v>
      </c>
      <c r="P57" s="71">
        <f t="shared" si="168"/>
        <v>6530.21</v>
      </c>
      <c r="Q57" s="71">
        <f t="shared" si="168"/>
        <v>6608.99</v>
      </c>
      <c r="R57" s="71">
        <f t="shared" si="168"/>
        <v>6120.86</v>
      </c>
      <c r="S57" s="71">
        <f t="shared" si="168"/>
        <v>5154.75</v>
      </c>
      <c r="T57" s="71">
        <f t="shared" si="168"/>
        <v>7656.38</v>
      </c>
      <c r="U57" s="71">
        <f t="shared" si="168"/>
        <v>5811.46</v>
      </c>
      <c r="V57" s="71">
        <f t="shared" si="168"/>
        <v>9063.01</v>
      </c>
      <c r="W57" s="71">
        <f t="shared" si="168"/>
        <v>6932.08</v>
      </c>
      <c r="X57" s="71">
        <f t="shared" si="168"/>
        <v>7207.64</v>
      </c>
      <c r="Y57" s="71">
        <f t="shared" si="168"/>
        <v>6349.42</v>
      </c>
      <c r="Z57" s="71">
        <f t="shared" si="168"/>
        <v>6501</v>
      </c>
      <c r="AA57" s="71">
        <f t="shared" si="168"/>
        <v>7774.96</v>
      </c>
      <c r="AB57" s="71">
        <f t="shared" si="168"/>
        <v>7586.9</v>
      </c>
      <c r="AC57" s="71">
        <f t="shared" si="168"/>
        <v>0</v>
      </c>
      <c r="AD57" s="71">
        <f t="shared" si="168"/>
        <v>6037.22</v>
      </c>
      <c r="AE57" s="71">
        <f t="shared" si="168"/>
        <v>0</v>
      </c>
      <c r="AF57" s="71">
        <f t="shared" si="168"/>
        <v>8267.4500000000007</v>
      </c>
      <c r="AG57" s="71">
        <f t="shared" si="168"/>
        <v>0</v>
      </c>
      <c r="AH57" s="578" t="s">
        <v>339</v>
      </c>
    </row>
    <row r="58" spans="1:35" ht="31.5" x14ac:dyDescent="0.25">
      <c r="A58" s="570"/>
      <c r="B58" s="619"/>
      <c r="C58" s="73" t="s">
        <v>21</v>
      </c>
      <c r="D58" s="74">
        <f>SUM(J58,L58,N58,P58,R58,T58,V58,X58,Z58,AB58,AD58,AF58)</f>
        <v>85238.720000000001</v>
      </c>
      <c r="E58" s="74">
        <f>J58+L58+N58+P58+R58+T58+V58+X58+Z58</f>
        <v>63347.15</v>
      </c>
      <c r="F58" s="74">
        <f>G58</f>
        <v>57901.409999999996</v>
      </c>
      <c r="G58" s="74">
        <f>SUM(K58,M58,O58,Q58,S58,U58,W58,Y58,AA58,AC58,AE58,AG58)</f>
        <v>57901.409999999996</v>
      </c>
      <c r="H58" s="74">
        <f t="shared" si="148"/>
        <v>67.928530602055019</v>
      </c>
      <c r="I58" s="74">
        <f t="shared" si="149"/>
        <v>91.40333858745025</v>
      </c>
      <c r="J58" s="67">
        <v>6354.62</v>
      </c>
      <c r="K58" s="67">
        <v>6145.18</v>
      </c>
      <c r="L58" s="67">
        <v>8341.69</v>
      </c>
      <c r="M58" s="67">
        <v>7922.46</v>
      </c>
      <c r="N58" s="67">
        <v>5571.74</v>
      </c>
      <c r="O58" s="67">
        <v>5202.1099999999997</v>
      </c>
      <c r="P58" s="67">
        <v>6530.21</v>
      </c>
      <c r="Q58" s="67">
        <v>6608.99</v>
      </c>
      <c r="R58" s="67">
        <v>6120.86</v>
      </c>
      <c r="S58" s="67">
        <v>5154.75</v>
      </c>
      <c r="T58" s="67">
        <v>7656.38</v>
      </c>
      <c r="U58" s="67">
        <v>5811.46</v>
      </c>
      <c r="V58" s="67">
        <v>9063.01</v>
      </c>
      <c r="W58" s="67">
        <v>6932.08</v>
      </c>
      <c r="X58" s="67">
        <v>7207.64</v>
      </c>
      <c r="Y58" s="67">
        <v>6349.42</v>
      </c>
      <c r="Z58" s="67">
        <v>6501</v>
      </c>
      <c r="AA58" s="67">
        <v>7774.96</v>
      </c>
      <c r="AB58" s="67">
        <v>7586.9</v>
      </c>
      <c r="AC58" s="67">
        <v>0</v>
      </c>
      <c r="AD58" s="67">
        <v>6037.22</v>
      </c>
      <c r="AE58" s="67">
        <v>0</v>
      </c>
      <c r="AF58" s="67">
        <v>8267.4500000000007</v>
      </c>
      <c r="AG58" s="67">
        <v>0</v>
      </c>
      <c r="AH58" s="579"/>
    </row>
  </sheetData>
  <customSheetViews>
    <customSheetView guid="{133BB3F8-8DD4-4AEF-8CD6-A5FB14681329}" scale="80" state="hidden">
      <pane xSplit="6" ySplit="7" topLeftCell="G16" activePane="bottomRight" state="frozen"/>
      <selection pane="bottomRight" activeCell="F6" sqref="F6"/>
      <pageMargins left="0.7" right="0.7" top="0.75" bottom="0.75" header="0.3" footer="0.3"/>
      <pageSetup paperSize="9" orientation="portrait" r:id="rId1"/>
    </customSheetView>
    <customSheetView guid="{7C5A2A36-3D69-43D9-9018-A52C27EC78F9}" scale="80">
      <pane xSplit="6" ySplit="7" topLeftCell="G16" activePane="bottomRight" state="frozen"/>
      <selection pane="bottomRight" activeCell="M28" sqref="M28"/>
      <pageMargins left="0.7" right="0.7" top="0.75" bottom="0.75" header="0.3" footer="0.3"/>
      <pageSetup paperSize="9" orientation="portrait" r:id="rId2"/>
    </customSheetView>
    <customSheetView guid="{2A5A11D4-90C6-4A3E-8165-7D7BD634B22F}" scale="80">
      <pane xSplit="6" ySplit="7" topLeftCell="L8" activePane="bottomRight" state="frozen"/>
      <selection pane="bottomRight" activeCell="AH48" sqref="AH48:AH49"/>
      <pageMargins left="0.7" right="0.7" top="0.75" bottom="0.75" header="0.3" footer="0.3"/>
      <pageSetup paperSize="9" orientation="portrait" r:id="rId3"/>
    </customSheetView>
    <customSheetView guid="{996EC2F0-F6EC-4E63-A83E-34865157BD8D}" scale="80">
      <pane xSplit="6" ySplit="7" topLeftCell="G16" activePane="bottomRight" state="frozen"/>
      <selection pane="bottomRight" activeCell="M28" sqref="M28"/>
      <pageMargins left="0.7" right="0.7" top="0.75" bottom="0.75" header="0.3" footer="0.3"/>
      <pageSetup paperSize="9" orientation="portrait" r:id="rId4"/>
    </customSheetView>
    <customSheetView guid="{AB9978E4-895D-4050-8F07-2484E22632D1}" scale="80">
      <pane xSplit="6" ySplit="7" topLeftCell="G34" activePane="bottomRight" state="frozen"/>
      <selection pane="bottomRight" activeCell="M28" sqref="M28"/>
      <pageMargins left="0.7" right="0.7" top="0.75" bottom="0.75" header="0.3" footer="0.3"/>
      <pageSetup paperSize="9" orientation="portrait" r:id="rId5"/>
    </customSheetView>
    <customSheetView guid="{21E1D423-7B38-4272-8354-09B4DB62C9EB}" scale="80">
      <pane xSplit="6" ySplit="7" topLeftCell="G8" activePane="bottomRight" state="frozen"/>
      <selection pane="bottomRight" activeCell="M28" sqref="M28"/>
      <pageMargins left="0.7" right="0.7" top="0.75" bottom="0.75" header="0.3" footer="0.3"/>
      <pageSetup paperSize="9" orientation="portrait" r:id="rId6"/>
    </customSheetView>
    <customSheetView guid="{2940A182-D1A7-43C5-8D6E-965BED4371B0}" scale="80">
      <pane xSplit="6" ySplit="7" topLeftCell="G16" activePane="bottomRight" state="frozen"/>
      <selection pane="bottomRight" activeCell="M28" sqref="M28"/>
      <pageMargins left="0.7" right="0.7" top="0.75" bottom="0.75" header="0.3" footer="0.3"/>
      <pageSetup paperSize="9" orientation="portrait" r:id="rId7"/>
    </customSheetView>
    <customSheetView guid="{A0E2FBF6-E560-4343-8BE6-217DC798135B}" scale="80">
      <pane xSplit="6" ySplit="7" topLeftCell="G16" activePane="bottomRight" state="frozen"/>
      <selection pane="bottomRight" activeCell="M28" sqref="M28"/>
      <pageMargins left="0.7" right="0.7" top="0.75" bottom="0.75" header="0.3" footer="0.3"/>
      <pageSetup paperSize="9" orientation="portrait" r:id="rId8"/>
    </customSheetView>
    <customSheetView guid="{BBF6B43F-E0FC-43DF-B91C-674F6AB4B556}" scale="80">
      <pane xSplit="6" ySplit="7" topLeftCell="G16" activePane="bottomRight" state="frozen"/>
      <selection pane="bottomRight" activeCell="M28" sqref="M28"/>
      <pageMargins left="0.7" right="0.7" top="0.75" bottom="0.75" header="0.3" footer="0.3"/>
      <pageSetup paperSize="9" orientation="portrait" r:id="rId9"/>
    </customSheetView>
    <customSheetView guid="{C68436F4-AFB3-4D1D-A7C4-56D0C677D68E}" scale="80">
      <pane xSplit="6" ySplit="7" topLeftCell="G16" activePane="bottomRight" state="frozen"/>
      <selection pane="bottomRight" activeCell="M28" sqref="M28"/>
      <pageMargins left="0.7" right="0.7" top="0.75" bottom="0.75" header="0.3" footer="0.3"/>
      <pageSetup paperSize="9" orientation="portrait" r:id="rId10"/>
    </customSheetView>
    <customSheetView guid="{DAEDC989-02E7-4319-8354-59410ACF3F1F}" scale="80">
      <pane xSplit="6" ySplit="7" topLeftCell="G16" activePane="bottomRight" state="frozen"/>
      <selection pane="bottomRight" activeCell="M28" sqref="M28"/>
      <pageMargins left="0.7" right="0.7" top="0.75" bottom="0.75" header="0.3" footer="0.3"/>
      <pageSetup paperSize="9" orientation="portrait" r:id="rId11"/>
    </customSheetView>
    <customSheetView guid="{519948E4-0B24-465F-9D9E-44BE50D1D647}" scale="80">
      <pane xSplit="6" ySplit="7" topLeftCell="G16" activePane="bottomRight" state="frozen"/>
      <selection pane="bottomRight" activeCell="M28" sqref="M28"/>
      <pageMargins left="0.7" right="0.7" top="0.75" bottom="0.75" header="0.3" footer="0.3"/>
      <pageSetup paperSize="9" orientation="portrait" r:id="rId12"/>
    </customSheetView>
    <customSheetView guid="{C7DC638A-7F60-46C9-A1FB-9ADEAE87F332}" scale="80">
      <pane xSplit="6" ySplit="7" topLeftCell="G16" activePane="bottomRight" state="frozen"/>
      <selection pane="bottomRight" activeCell="M28" sqref="M28"/>
      <pageMargins left="0.7" right="0.7" top="0.75" bottom="0.75" header="0.3" footer="0.3"/>
      <pageSetup paperSize="9" orientation="portrait" r:id="rId13"/>
    </customSheetView>
    <customSheetView guid="{C01DC081-B312-4391-B775-A8CE76216D71}" scale="80">
      <pane xSplit="6" ySplit="7" topLeftCell="G16" activePane="bottomRight" state="frozen"/>
      <selection pane="bottomRight" activeCell="M28" sqref="M28"/>
      <pageMargins left="0.7" right="0.7" top="0.75" bottom="0.75" header="0.3" footer="0.3"/>
      <pageSetup paperSize="9" orientation="portrait" r:id="rId14"/>
    </customSheetView>
    <customSheetView guid="{562453CE-35F5-40A3-AD14-6399D1197C99}" scale="80">
      <pane xSplit="6" ySplit="7" topLeftCell="G16" activePane="bottomRight" state="frozen"/>
      <selection pane="bottomRight" activeCell="M28" sqref="M28"/>
      <pageMargins left="0.7" right="0.7" top="0.75" bottom="0.75" header="0.3" footer="0.3"/>
      <pageSetup paperSize="9" orientation="portrait" r:id="rId15"/>
    </customSheetView>
    <customSheetView guid="{A7640BE7-6438-4196-9A67-AF5B992A1E70}" scale="60">
      <pane xSplit="6" ySplit="7" topLeftCell="O15" activePane="bottomRight" state="frozen"/>
      <selection pane="bottomRight" activeCell="AI25" sqref="AI25"/>
      <pageMargins left="0.7" right="0.7" top="0.75" bottom="0.75" header="0.3" footer="0.3"/>
      <pageSetup paperSize="9" orientation="portrait" r:id="rId16"/>
    </customSheetView>
    <customSheetView guid="{30B635D9-57DB-47D5-8A0F-4B30DD769960}" scale="80">
      <pane xSplit="6" ySplit="7" topLeftCell="G16" activePane="bottomRight" state="frozen"/>
      <selection pane="bottomRight" activeCell="M28" sqref="M28"/>
      <pageMargins left="0.7" right="0.7" top="0.75" bottom="0.75" header="0.3" footer="0.3"/>
      <pageSetup paperSize="9" orientation="portrait" r:id="rId17"/>
    </customSheetView>
    <customSheetView guid="{20A05A62-CBE8-4538-BBC3-2AD9D3B8FAC0}" scale="80">
      <pane xSplit="6" ySplit="7" topLeftCell="L23" activePane="bottomRight" state="frozen"/>
      <selection pane="bottomRight" activeCell="AD29" sqref="AD29"/>
      <pageMargins left="0.7" right="0.7" top="0.75" bottom="0.75" header="0.3" footer="0.3"/>
      <pageSetup paperSize="9" orientation="portrait" r:id="rId18"/>
    </customSheetView>
    <customSheetView guid="{C282AA4E-1BB5-4296-9AC6-844C0F88E5FC}" scale="80">
      <pane xSplit="6" ySplit="7" topLeftCell="G16" activePane="bottomRight" state="frozen"/>
      <selection pane="bottomRight" activeCell="M28" sqref="M28"/>
      <pageMargins left="0.7" right="0.7" top="0.75" bottom="0.75" header="0.3" footer="0.3"/>
      <pageSetup paperSize="9" orientation="portrait" r:id="rId19"/>
    </customSheetView>
    <customSheetView guid="{4E221C17-6DAB-4FFA-B18C-35D4D85AF6E8}" scale="80">
      <pane xSplit="6" ySplit="7" topLeftCell="T29" activePane="bottomRight" state="frozen"/>
      <selection pane="bottomRight" activeCell="M28" sqref="M28"/>
      <pageMargins left="0.7" right="0.7" top="0.75" bottom="0.75" header="0.3" footer="0.3"/>
      <pageSetup paperSize="9" orientation="portrait" r:id="rId20"/>
    </customSheetView>
    <customSheetView guid="{AFADB96A-0516-43C1-9F1B-0604F3CAC04A}" scale="80">
      <pane xSplit="6" ySplit="7" topLeftCell="O44" activePane="bottomRight" state="frozen"/>
      <selection pane="bottomRight" activeCell="AF55" sqref="AF55"/>
      <pageMargins left="0.7" right="0.7" top="0.75" bottom="0.75" header="0.3" footer="0.3"/>
      <pageSetup paperSize="9" orientation="portrait" r:id="rId21"/>
    </customSheetView>
    <customSheetView guid="{F528EF6A-C113-49B5-B25F-D660F898CBFB}" scale="80">
      <pane xSplit="6" ySplit="7" topLeftCell="G16" activePane="bottomRight" state="frozen"/>
      <selection pane="bottomRight" activeCell="M28" sqref="M28"/>
      <pageMargins left="0.7" right="0.7" top="0.75" bottom="0.75" header="0.3" footer="0.3"/>
      <pageSetup paperSize="9" orientation="portrait" r:id="rId22"/>
    </customSheetView>
    <customSheetView guid="{B6B60ED6-A6CC-4DA7-A8CA-5E6DB52D5A87}" scale="80">
      <pane xSplit="6" ySplit="7" topLeftCell="G16" activePane="bottomRight" state="frozen"/>
      <selection pane="bottomRight" activeCell="M28" sqref="M28"/>
      <pageMargins left="0.7" right="0.7" top="0.75" bottom="0.75" header="0.3" footer="0.3"/>
      <pageSetup paperSize="9" orientation="portrait" r:id="rId23"/>
    </customSheetView>
    <customSheetView guid="{A4AF2100-C59D-4F60-9EAB-56D9103463F7}" scale="80">
      <pane xSplit="6" ySplit="7" topLeftCell="G16" activePane="bottomRight" state="frozen"/>
      <selection pane="bottomRight" activeCell="M28" sqref="M28"/>
      <pageMargins left="0.7" right="0.7" top="0.75" bottom="0.75" header="0.3" footer="0.3"/>
      <pageSetup paperSize="9" orientation="portrait" r:id="rId24"/>
    </customSheetView>
    <customSheetView guid="{EA46B61D-849C-4795-A4FF-F8F1740022EB}" scale="80">
      <pane xSplit="6" ySplit="7" topLeftCell="G16" activePane="bottomRight" state="frozen"/>
      <selection pane="bottomRight" activeCell="M28" sqref="M28"/>
      <pageMargins left="0.7" right="0.7" top="0.75" bottom="0.75" header="0.3" footer="0.3"/>
      <pageSetup paperSize="9" orientation="portrait" r:id="rId25"/>
    </customSheetView>
    <customSheetView guid="{B686A221-D885-4536-BEAC-E7F4BBC02150}" scale="80">
      <pane xSplit="6" ySplit="7" topLeftCell="G16" activePane="bottomRight" state="frozen"/>
      <selection pane="bottomRight" activeCell="M28" sqref="M28"/>
      <pageMargins left="0.7" right="0.7" top="0.75" bottom="0.75" header="0.3" footer="0.3"/>
      <pageSetup paperSize="9" orientation="portrait" r:id="rId26"/>
    </customSheetView>
    <customSheetView guid="{60A1F930-4BEC-460A-8E14-01E47F6DD055}" scale="80">
      <pane xSplit="6" ySplit="4" topLeftCell="G16" activePane="bottomRight" state="frozen"/>
      <selection pane="bottomRight" activeCell="M28" sqref="M28"/>
      <pageMargins left="0.7" right="0.7" top="0.75" bottom="0.75" header="0.3" footer="0.3"/>
      <pageSetup paperSize="9" orientation="portrait" r:id="rId27"/>
    </customSheetView>
    <customSheetView guid="{5DF2C78B-5EE4-439D-8D72-8D3A913B65F9}" scale="80">
      <pane xSplit="6" ySplit="7" topLeftCell="G16" activePane="bottomRight" state="frozen"/>
      <selection pane="bottomRight" activeCell="M28" sqref="M28"/>
      <pageMargins left="0.7" right="0.7" top="0.75" bottom="0.75" header="0.3" footer="0.3"/>
      <pageSetup paperSize="9" orientation="portrait" r:id="rId28"/>
    </customSheetView>
  </customSheetViews>
  <mergeCells count="77">
    <mergeCell ref="AH55:AH56"/>
    <mergeCell ref="AH57:AH58"/>
    <mergeCell ref="AH27:AH29"/>
    <mergeCell ref="AH34:AH36"/>
    <mergeCell ref="AH45:AH47"/>
    <mergeCell ref="AH49:AH50"/>
    <mergeCell ref="AH30:AH32"/>
    <mergeCell ref="AH38:AH41"/>
    <mergeCell ref="AH42:AH44"/>
    <mergeCell ref="AH18:AH20"/>
    <mergeCell ref="AH21:AH23"/>
    <mergeCell ref="AH24:AH26"/>
    <mergeCell ref="AH51:AH52"/>
    <mergeCell ref="AH53:AH54"/>
    <mergeCell ref="C2:S2"/>
    <mergeCell ref="C3:S3"/>
    <mergeCell ref="A4:A6"/>
    <mergeCell ref="B4:B6"/>
    <mergeCell ref="C4:C6"/>
    <mergeCell ref="D4:D5"/>
    <mergeCell ref="E4:E5"/>
    <mergeCell ref="F4:F5"/>
    <mergeCell ref="G4:G5"/>
    <mergeCell ref="H4:I5"/>
    <mergeCell ref="J4:K5"/>
    <mergeCell ref="L4:M5"/>
    <mergeCell ref="N4:O5"/>
    <mergeCell ref="P4:Q5"/>
    <mergeCell ref="R4:S5"/>
    <mergeCell ref="AH4:AH6"/>
    <mergeCell ref="A8:A11"/>
    <mergeCell ref="B8:B11"/>
    <mergeCell ref="B12:AG12"/>
    <mergeCell ref="A13:A16"/>
    <mergeCell ref="B13:B16"/>
    <mergeCell ref="V4:W5"/>
    <mergeCell ref="X4:Y5"/>
    <mergeCell ref="Z4:AA5"/>
    <mergeCell ref="AB4:AC5"/>
    <mergeCell ref="AD4:AE5"/>
    <mergeCell ref="AF4:AG5"/>
    <mergeCell ref="T4:U5"/>
    <mergeCell ref="AH8:AH11"/>
    <mergeCell ref="AH13:AH16"/>
    <mergeCell ref="A55:A56"/>
    <mergeCell ref="B55:B56"/>
    <mergeCell ref="A57:A58"/>
    <mergeCell ref="B57:B58"/>
    <mergeCell ref="B48:AG48"/>
    <mergeCell ref="A49:A50"/>
    <mergeCell ref="B49:B50"/>
    <mergeCell ref="A53:A54"/>
    <mergeCell ref="B53:B54"/>
    <mergeCell ref="B45:B47"/>
    <mergeCell ref="A42:A44"/>
    <mergeCell ref="B42:B44"/>
    <mergeCell ref="A24:A26"/>
    <mergeCell ref="B27:B29"/>
    <mergeCell ref="A27:A29"/>
    <mergeCell ref="A38:A39"/>
    <mergeCell ref="B38:B39"/>
    <mergeCell ref="B17:AG17"/>
    <mergeCell ref="B33:AG33"/>
    <mergeCell ref="A51:A52"/>
    <mergeCell ref="B51:B52"/>
    <mergeCell ref="A18:A20"/>
    <mergeCell ref="B18:B20"/>
    <mergeCell ref="A21:A23"/>
    <mergeCell ref="B21:B23"/>
    <mergeCell ref="B30:B32"/>
    <mergeCell ref="A30:A32"/>
    <mergeCell ref="B40:B41"/>
    <mergeCell ref="A40:A41"/>
    <mergeCell ref="A34:A37"/>
    <mergeCell ref="B34:B37"/>
    <mergeCell ref="A45:A47"/>
    <mergeCell ref="B24:B26"/>
  </mergeCells>
  <pageMargins left="0.7" right="0.7" top="0.75" bottom="0.75" header="0.3" footer="0.3"/>
  <pageSetup paperSize="9" orientation="portrait" r:id="rId2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0"/>
  <sheetViews>
    <sheetView zoomScale="80" zoomScaleNormal="60" workbookViewId="0">
      <pane xSplit="6" ySplit="7" topLeftCell="G21" activePane="bottomRight" state="frozen"/>
      <selection pane="topRight" activeCell="G1" sqref="G1"/>
      <selection pane="bottomLeft" activeCell="A8" sqref="A8"/>
      <selection pane="bottomRight" activeCell="F6" sqref="F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6.57031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5.710937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4" width="13.5703125" style="8" customWidth="1"/>
    <col min="25" max="25" width="11.5703125" style="8" customWidth="1"/>
    <col min="26" max="26" width="16.140625" style="8" customWidth="1"/>
    <col min="27" max="27" width="11.5703125" style="8" customWidth="1"/>
    <col min="28" max="28" width="14.85546875" style="8" customWidth="1"/>
    <col min="29" max="29" width="13.140625" style="8" customWidth="1"/>
    <col min="30" max="31" width="13.42578125" style="8" customWidth="1"/>
    <col min="32" max="32" width="14" style="8" customWidth="1"/>
    <col min="33" max="33" width="13.5703125" style="8" customWidth="1"/>
    <col min="34" max="34" width="38.5703125" style="8" customWidth="1"/>
    <col min="35" max="35" width="16" style="8" customWidth="1"/>
    <col min="36"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512" t="s">
        <v>24</v>
      </c>
      <c r="D2" s="512"/>
      <c r="E2" s="512"/>
      <c r="F2" s="512"/>
      <c r="G2" s="512"/>
      <c r="H2" s="512"/>
      <c r="I2" s="512"/>
      <c r="J2" s="512"/>
      <c r="K2" s="512"/>
      <c r="L2" s="512"/>
      <c r="M2" s="512"/>
      <c r="N2" s="512"/>
      <c r="O2" s="512"/>
      <c r="P2" s="512"/>
      <c r="Q2" s="512"/>
      <c r="R2" s="512"/>
      <c r="S2" s="512"/>
      <c r="T2" s="35"/>
      <c r="U2" s="35"/>
      <c r="V2" s="35"/>
      <c r="W2" s="35"/>
      <c r="X2" s="35"/>
      <c r="Y2" s="35"/>
      <c r="Z2" s="35"/>
      <c r="AA2" s="35"/>
      <c r="AB2" s="35"/>
      <c r="AC2" s="35"/>
      <c r="AD2" s="35"/>
      <c r="AE2" s="35"/>
      <c r="AF2" s="35"/>
      <c r="AG2" s="35"/>
      <c r="AH2" s="35"/>
    </row>
    <row r="3" spans="1:35" s="10" customFormat="1" ht="36.75" customHeight="1" x14ac:dyDescent="0.25">
      <c r="A3" s="55"/>
      <c r="B3" s="55"/>
      <c r="C3" s="513" t="s">
        <v>74</v>
      </c>
      <c r="D3" s="513"/>
      <c r="E3" s="513"/>
      <c r="F3" s="513"/>
      <c r="G3" s="513"/>
      <c r="H3" s="513"/>
      <c r="I3" s="513"/>
      <c r="J3" s="513"/>
      <c r="K3" s="513"/>
      <c r="L3" s="513"/>
      <c r="M3" s="513"/>
      <c r="N3" s="513"/>
      <c r="O3" s="513"/>
      <c r="P3" s="513"/>
      <c r="Q3" s="513"/>
      <c r="R3" s="513"/>
      <c r="S3" s="513"/>
      <c r="T3" s="36"/>
      <c r="U3" s="36"/>
      <c r="V3" s="36"/>
      <c r="W3" s="36"/>
      <c r="X3" s="36"/>
      <c r="Y3" s="36"/>
      <c r="Z3" s="36"/>
      <c r="AA3" s="36"/>
      <c r="AB3" s="36"/>
      <c r="AC3" s="36"/>
      <c r="AD3" s="37"/>
      <c r="AE3" s="37"/>
      <c r="AF3" s="37"/>
      <c r="AG3" s="37" t="s">
        <v>0</v>
      </c>
      <c r="AH3" s="37"/>
    </row>
    <row r="4" spans="1:35" s="10" customFormat="1" ht="15" customHeight="1" x14ac:dyDescent="0.25">
      <c r="A4" s="514" t="s">
        <v>26</v>
      </c>
      <c r="B4" s="517" t="s">
        <v>29</v>
      </c>
      <c r="C4" s="517" t="s">
        <v>30</v>
      </c>
      <c r="D4" s="525" t="s">
        <v>1</v>
      </c>
      <c r="E4" s="525" t="s">
        <v>1</v>
      </c>
      <c r="F4" s="525" t="s">
        <v>2</v>
      </c>
      <c r="G4" s="525" t="s">
        <v>3</v>
      </c>
      <c r="H4" s="508" t="s">
        <v>4</v>
      </c>
      <c r="I4" s="509"/>
      <c r="J4" s="508" t="s">
        <v>5</v>
      </c>
      <c r="K4" s="509"/>
      <c r="L4" s="508" t="s">
        <v>6</v>
      </c>
      <c r="M4" s="509"/>
      <c r="N4" s="508" t="s">
        <v>7</v>
      </c>
      <c r="O4" s="509"/>
      <c r="P4" s="508" t="s">
        <v>8</v>
      </c>
      <c r="Q4" s="509"/>
      <c r="R4" s="508" t="s">
        <v>9</v>
      </c>
      <c r="S4" s="509"/>
      <c r="T4" s="508" t="s">
        <v>10</v>
      </c>
      <c r="U4" s="509"/>
      <c r="V4" s="508" t="s">
        <v>11</v>
      </c>
      <c r="W4" s="509"/>
      <c r="X4" s="508" t="s">
        <v>12</v>
      </c>
      <c r="Y4" s="509"/>
      <c r="Z4" s="508" t="s">
        <v>13</v>
      </c>
      <c r="AA4" s="509"/>
      <c r="AB4" s="508" t="s">
        <v>14</v>
      </c>
      <c r="AC4" s="509"/>
      <c r="AD4" s="508" t="s">
        <v>15</v>
      </c>
      <c r="AE4" s="509"/>
      <c r="AF4" s="508" t="s">
        <v>16</v>
      </c>
      <c r="AG4" s="509"/>
      <c r="AH4" s="527" t="s">
        <v>17</v>
      </c>
    </row>
    <row r="5" spans="1:35" s="10" customFormat="1" ht="39" customHeight="1" x14ac:dyDescent="0.25">
      <c r="A5" s="515"/>
      <c r="B5" s="518"/>
      <c r="C5" s="518"/>
      <c r="D5" s="526"/>
      <c r="E5" s="526"/>
      <c r="F5" s="526"/>
      <c r="G5" s="526"/>
      <c r="H5" s="510"/>
      <c r="I5" s="511"/>
      <c r="J5" s="510"/>
      <c r="K5" s="511"/>
      <c r="L5" s="510"/>
      <c r="M5" s="511"/>
      <c r="N5" s="510"/>
      <c r="O5" s="511"/>
      <c r="P5" s="510"/>
      <c r="Q5" s="511"/>
      <c r="R5" s="510"/>
      <c r="S5" s="511"/>
      <c r="T5" s="510"/>
      <c r="U5" s="511"/>
      <c r="V5" s="510"/>
      <c r="W5" s="511"/>
      <c r="X5" s="510"/>
      <c r="Y5" s="511"/>
      <c r="Z5" s="510"/>
      <c r="AA5" s="511"/>
      <c r="AB5" s="510"/>
      <c r="AC5" s="511"/>
      <c r="AD5" s="510"/>
      <c r="AE5" s="511"/>
      <c r="AF5" s="510"/>
      <c r="AG5" s="511"/>
      <c r="AH5" s="528"/>
    </row>
    <row r="6" spans="1:35" s="10" customFormat="1" ht="64.5" customHeight="1" x14ac:dyDescent="0.25">
      <c r="A6" s="516"/>
      <c r="B6" s="519"/>
      <c r="C6" s="519"/>
      <c r="D6" s="38">
        <v>2025</v>
      </c>
      <c r="E6" s="39">
        <v>45962</v>
      </c>
      <c r="F6" s="39">
        <v>45962</v>
      </c>
      <c r="G6" s="39">
        <v>45962</v>
      </c>
      <c r="H6" s="11" t="s">
        <v>27</v>
      </c>
      <c r="I6" s="11" t="s">
        <v>28</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529"/>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349" customFormat="1" ht="31.5" customHeight="1" x14ac:dyDescent="0.25">
      <c r="A8" s="530"/>
      <c r="B8" s="533" t="s">
        <v>23</v>
      </c>
      <c r="C8" s="346" t="s">
        <v>20</v>
      </c>
      <c r="D8" s="207">
        <f>D9+D10+D11</f>
        <v>799158.24</v>
      </c>
      <c r="E8" s="207">
        <f t="shared" ref="E8:G8" si="0">E9+E10+E11</f>
        <v>610164.07999999996</v>
      </c>
      <c r="F8" s="207">
        <f t="shared" si="0"/>
        <v>582283.14</v>
      </c>
      <c r="G8" s="207">
        <f t="shared" si="0"/>
        <v>582283.14</v>
      </c>
      <c r="H8" s="207">
        <f>IFERROR(G8/D8*100,0)</f>
        <v>72.86205795738276</v>
      </c>
      <c r="I8" s="207">
        <f>IFERROR(G8/E8*100,0)</f>
        <v>95.430583196572314</v>
      </c>
      <c r="J8" s="206">
        <f>J9+J10+J11</f>
        <v>0</v>
      </c>
      <c r="K8" s="206">
        <f t="shared" ref="K8:AG8" si="1">K9+K10+K11</f>
        <v>0</v>
      </c>
      <c r="L8" s="206">
        <f t="shared" si="1"/>
        <v>0</v>
      </c>
      <c r="M8" s="206">
        <f t="shared" si="1"/>
        <v>0</v>
      </c>
      <c r="N8" s="206">
        <f t="shared" si="1"/>
        <v>2235.88</v>
      </c>
      <c r="O8" s="206">
        <f t="shared" si="1"/>
        <v>2235.88</v>
      </c>
      <c r="P8" s="206">
        <f t="shared" si="1"/>
        <v>0</v>
      </c>
      <c r="Q8" s="206">
        <f t="shared" si="1"/>
        <v>0</v>
      </c>
      <c r="R8" s="206">
        <f t="shared" si="1"/>
        <v>0</v>
      </c>
      <c r="S8" s="206">
        <f t="shared" si="1"/>
        <v>0</v>
      </c>
      <c r="T8" s="206">
        <f t="shared" si="1"/>
        <v>89282.95</v>
      </c>
      <c r="U8" s="206">
        <f t="shared" si="1"/>
        <v>89282.95</v>
      </c>
      <c r="V8" s="206">
        <f t="shared" si="1"/>
        <v>284377.98000000004</v>
      </c>
      <c r="W8" s="206">
        <f t="shared" si="1"/>
        <v>284377.98000000004</v>
      </c>
      <c r="X8" s="206">
        <f t="shared" si="1"/>
        <v>21369.27</v>
      </c>
      <c r="Y8" s="206">
        <f t="shared" si="1"/>
        <v>21369.27</v>
      </c>
      <c r="Z8" s="206">
        <f t="shared" si="1"/>
        <v>36658.080000000002</v>
      </c>
      <c r="AA8" s="206">
        <f t="shared" si="1"/>
        <v>8597.48</v>
      </c>
      <c r="AB8" s="206">
        <f t="shared" si="1"/>
        <v>176239.92</v>
      </c>
      <c r="AC8" s="206">
        <f t="shared" si="1"/>
        <v>1272.8900000000001</v>
      </c>
      <c r="AD8" s="206">
        <f t="shared" si="1"/>
        <v>152.66999999999999</v>
      </c>
      <c r="AE8" s="206">
        <f t="shared" si="1"/>
        <v>0</v>
      </c>
      <c r="AF8" s="206">
        <f t="shared" si="1"/>
        <v>188841.49</v>
      </c>
      <c r="AG8" s="206">
        <f t="shared" si="1"/>
        <v>0</v>
      </c>
      <c r="AH8" s="347"/>
    </row>
    <row r="9" spans="1:35" s="26" customFormat="1" ht="48.75" customHeight="1" x14ac:dyDescent="0.25">
      <c r="A9" s="531"/>
      <c r="B9" s="534"/>
      <c r="C9" s="73" t="s">
        <v>52</v>
      </c>
      <c r="D9" s="74">
        <v>0</v>
      </c>
      <c r="E9" s="74">
        <v>0</v>
      </c>
      <c r="F9" s="74">
        <f>G9</f>
        <v>0</v>
      </c>
      <c r="G9" s="74">
        <f>K9+M9+O9+Q9+S9+U9+W9+Y9+AA9+AC9+AE9+AG9</f>
        <v>0</v>
      </c>
      <c r="H9" s="74">
        <f t="shared" ref="H9" si="2">IFERROR(G9/D9*100,0)</f>
        <v>0</v>
      </c>
      <c r="I9" s="74">
        <f t="shared" ref="I9" si="3">IFERROR(G9/E9*100,0)</f>
        <v>0</v>
      </c>
      <c r="J9" s="74">
        <v>0</v>
      </c>
      <c r="K9" s="74">
        <f t="shared" ref="K9:AG9" si="4">K18</f>
        <v>0</v>
      </c>
      <c r="L9" s="74">
        <f t="shared" si="4"/>
        <v>0</v>
      </c>
      <c r="M9" s="74">
        <f t="shared" si="4"/>
        <v>0</v>
      </c>
      <c r="N9" s="74">
        <f t="shared" si="4"/>
        <v>0</v>
      </c>
      <c r="O9" s="74">
        <f t="shared" si="4"/>
        <v>0</v>
      </c>
      <c r="P9" s="74">
        <f t="shared" si="4"/>
        <v>0</v>
      </c>
      <c r="Q9" s="74">
        <f t="shared" si="4"/>
        <v>0</v>
      </c>
      <c r="R9" s="74">
        <f t="shared" si="4"/>
        <v>0</v>
      </c>
      <c r="S9" s="74">
        <f t="shared" si="4"/>
        <v>0</v>
      </c>
      <c r="T9" s="74">
        <f t="shared" si="4"/>
        <v>0</v>
      </c>
      <c r="U9" s="74">
        <f t="shared" si="4"/>
        <v>0</v>
      </c>
      <c r="V9" s="74">
        <f t="shared" si="4"/>
        <v>0</v>
      </c>
      <c r="W9" s="74">
        <f t="shared" si="4"/>
        <v>0</v>
      </c>
      <c r="X9" s="74">
        <f t="shared" si="4"/>
        <v>0</v>
      </c>
      <c r="Y9" s="74">
        <f t="shared" si="4"/>
        <v>0</v>
      </c>
      <c r="Z9" s="74">
        <f t="shared" si="4"/>
        <v>0</v>
      </c>
      <c r="AA9" s="74">
        <f t="shared" si="4"/>
        <v>0</v>
      </c>
      <c r="AB9" s="74">
        <f t="shared" si="4"/>
        <v>0</v>
      </c>
      <c r="AC9" s="74">
        <f t="shared" si="4"/>
        <v>0</v>
      </c>
      <c r="AD9" s="74">
        <f t="shared" si="4"/>
        <v>0</v>
      </c>
      <c r="AE9" s="74">
        <f t="shared" si="4"/>
        <v>0</v>
      </c>
      <c r="AF9" s="74">
        <f t="shared" si="4"/>
        <v>0</v>
      </c>
      <c r="AG9" s="74">
        <f t="shared" si="4"/>
        <v>0</v>
      </c>
      <c r="AH9" s="75"/>
    </row>
    <row r="10" spans="1:35" s="26" customFormat="1" ht="57.75" customHeight="1" x14ac:dyDescent="0.25">
      <c r="A10" s="531"/>
      <c r="B10" s="534"/>
      <c r="C10" s="73" t="s">
        <v>22</v>
      </c>
      <c r="D10" s="74">
        <v>520764.9</v>
      </c>
      <c r="E10" s="74">
        <v>445671.93</v>
      </c>
      <c r="F10" s="74">
        <v>445671.92</v>
      </c>
      <c r="G10" s="74">
        <v>445671.92</v>
      </c>
      <c r="H10" s="74">
        <f>IFERROR(G10/D10*100,0)</f>
        <v>85.580253200628533</v>
      </c>
      <c r="I10" s="74">
        <f>IFERROR(G10/E10*100,0)</f>
        <v>99.999997756197018</v>
      </c>
      <c r="J10" s="74">
        <v>0</v>
      </c>
      <c r="K10" s="74">
        <f t="shared" ref="K10:AG10" si="5">K15+K19+K29</f>
        <v>0</v>
      </c>
      <c r="L10" s="74">
        <f t="shared" si="5"/>
        <v>0</v>
      </c>
      <c r="M10" s="74">
        <f t="shared" si="5"/>
        <v>0</v>
      </c>
      <c r="N10" s="74">
        <f t="shared" si="5"/>
        <v>0</v>
      </c>
      <c r="O10" s="74">
        <f t="shared" si="5"/>
        <v>0</v>
      </c>
      <c r="P10" s="74">
        <f t="shared" si="5"/>
        <v>0</v>
      </c>
      <c r="Q10" s="74">
        <f t="shared" si="5"/>
        <v>0</v>
      </c>
      <c r="R10" s="74">
        <f t="shared" si="5"/>
        <v>0</v>
      </c>
      <c r="S10" s="74">
        <f t="shared" si="5"/>
        <v>0</v>
      </c>
      <c r="T10" s="74">
        <f t="shared" si="5"/>
        <v>0</v>
      </c>
      <c r="U10" s="74">
        <f t="shared" si="5"/>
        <v>0</v>
      </c>
      <c r="V10" s="74">
        <v>270159.08</v>
      </c>
      <c r="W10" s="74">
        <f t="shared" si="5"/>
        <v>270159.08</v>
      </c>
      <c r="X10" s="74">
        <v>9123.49</v>
      </c>
      <c r="Y10" s="74">
        <v>9123.49</v>
      </c>
      <c r="Z10" s="74">
        <v>26657.57</v>
      </c>
      <c r="AA10" s="74">
        <f t="shared" si="5"/>
        <v>0</v>
      </c>
      <c r="AB10" s="74">
        <v>139731.79</v>
      </c>
      <c r="AC10" s="74">
        <f t="shared" si="5"/>
        <v>0</v>
      </c>
      <c r="AD10" s="74">
        <v>60.87</v>
      </c>
      <c r="AE10" s="74">
        <f t="shared" si="5"/>
        <v>0</v>
      </c>
      <c r="AF10" s="74">
        <v>75032.100000000006</v>
      </c>
      <c r="AG10" s="74">
        <f t="shared" si="5"/>
        <v>0</v>
      </c>
      <c r="AH10" s="75"/>
    </row>
    <row r="11" spans="1:35" s="26" customFormat="1" ht="41.25" customHeight="1" x14ac:dyDescent="0.25">
      <c r="A11" s="532"/>
      <c r="B11" s="535"/>
      <c r="C11" s="73" t="s">
        <v>21</v>
      </c>
      <c r="D11" s="74">
        <v>278393.34000000003</v>
      </c>
      <c r="E11" s="74">
        <v>164492.15</v>
      </c>
      <c r="F11" s="74">
        <v>136611.22</v>
      </c>
      <c r="G11" s="74">
        <v>136611.22</v>
      </c>
      <c r="H11" s="74">
        <v>46.97</v>
      </c>
      <c r="I11" s="74">
        <v>100</v>
      </c>
      <c r="J11" s="74">
        <v>0</v>
      </c>
      <c r="K11" s="74">
        <f t="shared" ref="K11:AG11" si="6">K16+K20+K22+K25+K30</f>
        <v>0</v>
      </c>
      <c r="L11" s="74">
        <f t="shared" si="6"/>
        <v>0</v>
      </c>
      <c r="M11" s="74">
        <f t="shared" si="6"/>
        <v>0</v>
      </c>
      <c r="N11" s="74">
        <f t="shared" si="6"/>
        <v>2235.88</v>
      </c>
      <c r="O11" s="74">
        <f t="shared" si="6"/>
        <v>2235.88</v>
      </c>
      <c r="P11" s="74">
        <f t="shared" si="6"/>
        <v>0</v>
      </c>
      <c r="Q11" s="74">
        <f t="shared" si="6"/>
        <v>0</v>
      </c>
      <c r="R11" s="74">
        <f t="shared" si="6"/>
        <v>0</v>
      </c>
      <c r="S11" s="74">
        <f t="shared" si="6"/>
        <v>0</v>
      </c>
      <c r="T11" s="74">
        <v>89282.95</v>
      </c>
      <c r="U11" s="74">
        <v>89282.95</v>
      </c>
      <c r="V11" s="74">
        <v>14218.9</v>
      </c>
      <c r="W11" s="74">
        <f t="shared" si="6"/>
        <v>14218.9</v>
      </c>
      <c r="X11" s="74">
        <v>12245.78</v>
      </c>
      <c r="Y11" s="74">
        <v>12245.78</v>
      </c>
      <c r="Z11" s="74">
        <v>10000.51</v>
      </c>
      <c r="AA11" s="74">
        <f t="shared" si="6"/>
        <v>8597.48</v>
      </c>
      <c r="AB11" s="74">
        <v>36508.129999999997</v>
      </c>
      <c r="AC11" s="74">
        <f t="shared" si="6"/>
        <v>1272.8900000000001</v>
      </c>
      <c r="AD11" s="74">
        <v>91.8</v>
      </c>
      <c r="AE11" s="74">
        <f t="shared" si="6"/>
        <v>0</v>
      </c>
      <c r="AF11" s="74">
        <v>113809.39</v>
      </c>
      <c r="AG11" s="74">
        <f t="shared" si="6"/>
        <v>0</v>
      </c>
      <c r="AH11" s="75"/>
    </row>
    <row r="12" spans="1:35" s="18" customFormat="1" ht="18.75" customHeight="1" x14ac:dyDescent="0.25">
      <c r="A12" s="68"/>
      <c r="B12" s="536" t="s">
        <v>75</v>
      </c>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8"/>
      <c r="AH12" s="46"/>
    </row>
    <row r="13" spans="1:35" s="349" customFormat="1" ht="31.5" customHeight="1" x14ac:dyDescent="0.25">
      <c r="A13" s="539" t="s">
        <v>50</v>
      </c>
      <c r="B13" s="629" t="s">
        <v>78</v>
      </c>
      <c r="C13" s="346" t="s">
        <v>20</v>
      </c>
      <c r="D13" s="207">
        <f>D15+D16+D14</f>
        <v>471431.8</v>
      </c>
      <c r="E13" s="207">
        <f t="shared" ref="E13:AG13" si="7">E15+E16+E14</f>
        <v>471364.23</v>
      </c>
      <c r="F13" s="207">
        <v>471364.22</v>
      </c>
      <c r="G13" s="207">
        <v>471364.22</v>
      </c>
      <c r="H13" s="207">
        <f>IFERROR(G13/D13*100,0)</f>
        <v>99.985664946658233</v>
      </c>
      <c r="I13" s="207">
        <f>IFERROR(G13/E13*100,0)</f>
        <v>99.99999787849832</v>
      </c>
      <c r="J13" s="207">
        <f t="shared" si="7"/>
        <v>0</v>
      </c>
      <c r="K13" s="207">
        <f t="shared" si="7"/>
        <v>0</v>
      </c>
      <c r="L13" s="207">
        <f t="shared" si="7"/>
        <v>0</v>
      </c>
      <c r="M13" s="207">
        <f t="shared" si="7"/>
        <v>0</v>
      </c>
      <c r="N13" s="207">
        <f t="shared" si="7"/>
        <v>2235.88</v>
      </c>
      <c r="O13" s="207">
        <f t="shared" si="7"/>
        <v>2235.88</v>
      </c>
      <c r="P13" s="207">
        <v>0</v>
      </c>
      <c r="Q13" s="207">
        <f t="shared" si="7"/>
        <v>0</v>
      </c>
      <c r="R13" s="207">
        <f t="shared" si="7"/>
        <v>0</v>
      </c>
      <c r="S13" s="207">
        <f t="shared" si="7"/>
        <v>0</v>
      </c>
      <c r="T13" s="207">
        <f t="shared" si="7"/>
        <v>0</v>
      </c>
      <c r="U13" s="207">
        <f t="shared" si="7"/>
        <v>0</v>
      </c>
      <c r="V13" s="207">
        <f t="shared" si="7"/>
        <v>284377.98000000004</v>
      </c>
      <c r="W13" s="207">
        <f t="shared" si="7"/>
        <v>284377.98000000004</v>
      </c>
      <c r="X13" s="207">
        <v>9603.68</v>
      </c>
      <c r="Y13" s="207">
        <f t="shared" si="7"/>
        <v>0</v>
      </c>
      <c r="Z13" s="207">
        <f t="shared" si="7"/>
        <v>28060.6</v>
      </c>
      <c r="AA13" s="207">
        <f t="shared" si="7"/>
        <v>0</v>
      </c>
      <c r="AB13" s="207">
        <f t="shared" si="7"/>
        <v>147086.1</v>
      </c>
      <c r="AC13" s="207">
        <f t="shared" si="7"/>
        <v>0</v>
      </c>
      <c r="AD13" s="207">
        <f t="shared" si="7"/>
        <v>64.069999999999993</v>
      </c>
      <c r="AE13" s="207">
        <f t="shared" si="7"/>
        <v>0</v>
      </c>
      <c r="AF13" s="207">
        <f t="shared" si="7"/>
        <v>3.5</v>
      </c>
      <c r="AG13" s="207">
        <f t="shared" si="7"/>
        <v>0</v>
      </c>
      <c r="AH13" s="347"/>
      <c r="AI13" s="348"/>
    </row>
    <row r="14" spans="1:35" s="21" customFormat="1" ht="42.75" hidden="1" customHeight="1" x14ac:dyDescent="0.25">
      <c r="A14" s="540"/>
      <c r="B14" s="630"/>
      <c r="C14" s="61" t="s">
        <v>52</v>
      </c>
      <c r="D14" s="62">
        <f>SUM(J14,L14,N14,P14,R14,T14,V14,X14,Z14,AB14,AD14,AF14)</f>
        <v>0</v>
      </c>
      <c r="E14" s="62">
        <f>J14</f>
        <v>0</v>
      </c>
      <c r="F14" s="62">
        <f>G14</f>
        <v>0</v>
      </c>
      <c r="G14" s="62">
        <f>SUM(K14,M14,O14,Q14,S14,U14,W14,Y14,AA14,AC14,AE14,AG14)</f>
        <v>0</v>
      </c>
      <c r="H14" s="62">
        <f t="shared" ref="H14" si="8">IFERROR(G14/D14*100,0)</f>
        <v>0</v>
      </c>
      <c r="I14" s="62">
        <f t="shared" ref="I14:I15" si="9">IFERROR(G14/E14*100,0)</f>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0"/>
      <c r="AI14" s="23"/>
    </row>
    <row r="15" spans="1:35" s="21" customFormat="1" ht="338.25" customHeight="1" x14ac:dyDescent="0.25">
      <c r="A15" s="540"/>
      <c r="B15" s="630"/>
      <c r="C15" s="61" t="s">
        <v>22</v>
      </c>
      <c r="D15" s="62">
        <v>445732.8</v>
      </c>
      <c r="E15" s="62">
        <v>445671.93</v>
      </c>
      <c r="F15" s="62">
        <v>445671.92</v>
      </c>
      <c r="G15" s="62">
        <v>445671.92</v>
      </c>
      <c r="H15" s="62">
        <f>IFERROR(G15/D15*100,0)</f>
        <v>99.986341592990229</v>
      </c>
      <c r="I15" s="62">
        <f t="shared" si="9"/>
        <v>99.999997756197018</v>
      </c>
      <c r="J15" s="63">
        <v>0</v>
      </c>
      <c r="K15" s="63">
        <v>0</v>
      </c>
      <c r="L15" s="63">
        <v>0</v>
      </c>
      <c r="M15" s="63">
        <v>0</v>
      </c>
      <c r="N15" s="63">
        <v>0</v>
      </c>
      <c r="O15" s="63">
        <v>0</v>
      </c>
      <c r="P15" s="63">
        <v>0</v>
      </c>
      <c r="Q15" s="63">
        <v>0</v>
      </c>
      <c r="R15" s="63">
        <v>0</v>
      </c>
      <c r="S15" s="63">
        <v>0</v>
      </c>
      <c r="T15" s="63">
        <v>0</v>
      </c>
      <c r="U15" s="63">
        <v>0</v>
      </c>
      <c r="V15" s="63">
        <v>270159.08</v>
      </c>
      <c r="W15" s="63">
        <v>270159.08</v>
      </c>
      <c r="X15" s="63">
        <v>9123.49</v>
      </c>
      <c r="Y15" s="63">
        <v>0</v>
      </c>
      <c r="Z15" s="63">
        <v>26657.57</v>
      </c>
      <c r="AA15" s="63">
        <v>0</v>
      </c>
      <c r="AB15" s="63">
        <v>139731.79</v>
      </c>
      <c r="AC15" s="63">
        <v>0</v>
      </c>
      <c r="AD15" s="63">
        <v>60.87</v>
      </c>
      <c r="AE15" s="63">
        <v>0</v>
      </c>
      <c r="AF15" s="63">
        <v>0</v>
      </c>
      <c r="AG15" s="63">
        <v>0</v>
      </c>
      <c r="AH15" s="353" t="s">
        <v>359</v>
      </c>
      <c r="AI15" s="23">
        <f t="shared" ref="AI15:AI23" si="10">E16-G16</f>
        <v>0</v>
      </c>
    </row>
    <row r="16" spans="1:35" s="22" customFormat="1" ht="76.5" customHeight="1" x14ac:dyDescent="0.25">
      <c r="A16" s="541"/>
      <c r="B16" s="631"/>
      <c r="C16" s="61" t="s">
        <v>21</v>
      </c>
      <c r="D16" s="62">
        <v>25699</v>
      </c>
      <c r="E16" s="62">
        <v>25692.3</v>
      </c>
      <c r="F16" s="62">
        <v>25692.3</v>
      </c>
      <c r="G16" s="62">
        <v>25692.3</v>
      </c>
      <c r="H16" s="62">
        <v>100</v>
      </c>
      <c r="I16" s="62">
        <f>IFERROR(G16/E16*100,0)</f>
        <v>100</v>
      </c>
      <c r="J16" s="67">
        <v>0</v>
      </c>
      <c r="K16" s="67">
        <v>0</v>
      </c>
      <c r="L16" s="67">
        <v>0</v>
      </c>
      <c r="M16" s="67">
        <v>0</v>
      </c>
      <c r="N16" s="67">
        <v>2235.88</v>
      </c>
      <c r="O16" s="67">
        <v>2235.88</v>
      </c>
      <c r="P16" s="67">
        <v>0</v>
      </c>
      <c r="Q16" s="67">
        <v>0</v>
      </c>
      <c r="R16" s="67">
        <v>0</v>
      </c>
      <c r="S16" s="67">
        <v>0</v>
      </c>
      <c r="T16" s="67">
        <v>0</v>
      </c>
      <c r="U16" s="67">
        <v>0</v>
      </c>
      <c r="V16" s="67">
        <v>14218.9</v>
      </c>
      <c r="W16" s="67">
        <v>14218.9</v>
      </c>
      <c r="X16" s="67">
        <v>480.18</v>
      </c>
      <c r="Y16" s="67">
        <v>0</v>
      </c>
      <c r="Z16" s="67">
        <v>1403.03</v>
      </c>
      <c r="AA16" s="67">
        <v>0</v>
      </c>
      <c r="AB16" s="67">
        <v>7354.31</v>
      </c>
      <c r="AC16" s="67">
        <v>0</v>
      </c>
      <c r="AD16" s="67">
        <v>3.2</v>
      </c>
      <c r="AE16" s="67">
        <v>0</v>
      </c>
      <c r="AF16" s="67">
        <v>3.5</v>
      </c>
      <c r="AG16" s="67">
        <v>0</v>
      </c>
      <c r="AH16" s="64"/>
      <c r="AI16" s="302">
        <f t="shared" si="10"/>
        <v>34951.800000000003</v>
      </c>
    </row>
    <row r="17" spans="1:35" s="22" customFormat="1" ht="28.5" customHeight="1" x14ac:dyDescent="0.25">
      <c r="A17" s="539" t="s">
        <v>76</v>
      </c>
      <c r="B17" s="629" t="s">
        <v>77</v>
      </c>
      <c r="C17" s="57" t="s">
        <v>20</v>
      </c>
      <c r="D17" s="58">
        <f>D19+D20+D18</f>
        <v>34951.800000000003</v>
      </c>
      <c r="E17" s="58">
        <f t="shared" ref="E17:G17" si="11">E19+E20+E18</f>
        <v>34951.800000000003</v>
      </c>
      <c r="F17" s="58">
        <f t="shared" si="11"/>
        <v>0</v>
      </c>
      <c r="G17" s="58">
        <f t="shared" si="11"/>
        <v>0</v>
      </c>
      <c r="H17" s="58">
        <f t="shared" ref="H17:H20" si="12">IFERROR(G17/D17*100,0)</f>
        <v>0</v>
      </c>
      <c r="I17" s="58">
        <f t="shared" ref="I17:I20" si="13">IFERROR(G17/E17*100,0)</f>
        <v>0</v>
      </c>
      <c r="J17" s="58">
        <f t="shared" ref="J17:AG17" si="14">J19+J20+J18</f>
        <v>34951.800000000003</v>
      </c>
      <c r="K17" s="58">
        <f t="shared" si="14"/>
        <v>0</v>
      </c>
      <c r="L17" s="58">
        <f t="shared" si="14"/>
        <v>0</v>
      </c>
      <c r="M17" s="58">
        <f t="shared" si="14"/>
        <v>0</v>
      </c>
      <c r="N17" s="58">
        <f t="shared" si="14"/>
        <v>0</v>
      </c>
      <c r="O17" s="58">
        <f t="shared" si="14"/>
        <v>0</v>
      </c>
      <c r="P17" s="58">
        <f t="shared" si="14"/>
        <v>0</v>
      </c>
      <c r="Q17" s="58">
        <f t="shared" si="14"/>
        <v>0</v>
      </c>
      <c r="R17" s="58">
        <f t="shared" si="14"/>
        <v>0</v>
      </c>
      <c r="S17" s="58">
        <f t="shared" si="14"/>
        <v>0</v>
      </c>
      <c r="T17" s="58">
        <f t="shared" si="14"/>
        <v>0</v>
      </c>
      <c r="U17" s="58">
        <f t="shared" si="14"/>
        <v>0</v>
      </c>
      <c r="V17" s="58">
        <f t="shared" si="14"/>
        <v>0</v>
      </c>
      <c r="W17" s="58">
        <f t="shared" si="14"/>
        <v>0</v>
      </c>
      <c r="X17" s="58">
        <f t="shared" si="14"/>
        <v>0</v>
      </c>
      <c r="Y17" s="58">
        <f t="shared" si="14"/>
        <v>0</v>
      </c>
      <c r="Z17" s="58">
        <f t="shared" si="14"/>
        <v>0</v>
      </c>
      <c r="AA17" s="58">
        <f t="shared" si="14"/>
        <v>0</v>
      </c>
      <c r="AB17" s="58">
        <f t="shared" si="14"/>
        <v>0</v>
      </c>
      <c r="AC17" s="58">
        <f t="shared" si="14"/>
        <v>0</v>
      </c>
      <c r="AD17" s="58">
        <f t="shared" si="14"/>
        <v>0</v>
      </c>
      <c r="AE17" s="58">
        <f t="shared" si="14"/>
        <v>0</v>
      </c>
      <c r="AF17" s="58">
        <f t="shared" si="14"/>
        <v>0</v>
      </c>
      <c r="AG17" s="58">
        <f t="shared" si="14"/>
        <v>0</v>
      </c>
      <c r="AH17" s="72"/>
      <c r="AI17" s="302">
        <f t="shared" si="10"/>
        <v>7660.6</v>
      </c>
    </row>
    <row r="18" spans="1:35" s="26" customFormat="1" ht="55.5" customHeight="1" x14ac:dyDescent="0.25">
      <c r="A18" s="540"/>
      <c r="B18" s="630"/>
      <c r="C18" s="61" t="s">
        <v>52</v>
      </c>
      <c r="D18" s="62">
        <f>SUM(J18,L18,N18,P18,R18,T18,V18,X18,Z18,AB18,AD18,AF18)</f>
        <v>7660.6</v>
      </c>
      <c r="E18" s="62">
        <f>J18</f>
        <v>7660.6</v>
      </c>
      <c r="F18" s="62">
        <f>G18</f>
        <v>0</v>
      </c>
      <c r="G18" s="62">
        <f>SUM(K18,M18,O18,Q18,S18,U18,W18,Y18,AA18,AC18,AE18,AG18)</f>
        <v>0</v>
      </c>
      <c r="H18" s="62">
        <f t="shared" si="12"/>
        <v>0</v>
      </c>
      <c r="I18" s="62">
        <f t="shared" si="13"/>
        <v>0</v>
      </c>
      <c r="J18" s="62">
        <v>7660.6</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72"/>
      <c r="AI18" s="303">
        <f t="shared" si="10"/>
        <v>21832.9</v>
      </c>
    </row>
    <row r="19" spans="1:35" s="26" customFormat="1" ht="37.5" customHeight="1" x14ac:dyDescent="0.25">
      <c r="A19" s="540"/>
      <c r="B19" s="630"/>
      <c r="C19" s="61" t="s">
        <v>22</v>
      </c>
      <c r="D19" s="62">
        <f>SUM(J19,L19,N19,P19,R19,T19,V19,X19,Z19,AB19,AD19,AF19)</f>
        <v>21832.9</v>
      </c>
      <c r="E19" s="62">
        <f>J19</f>
        <v>21832.9</v>
      </c>
      <c r="F19" s="62">
        <f>G19</f>
        <v>0</v>
      </c>
      <c r="G19" s="62">
        <f>SUM(K19,M19,O19,Q19,S19,U19,W19,Y19,AA19,AC19,AE19,AG19)</f>
        <v>0</v>
      </c>
      <c r="H19" s="62">
        <f t="shared" si="12"/>
        <v>0</v>
      </c>
      <c r="I19" s="62">
        <f t="shared" si="13"/>
        <v>0</v>
      </c>
      <c r="J19" s="63">
        <v>21832.9</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72"/>
      <c r="AI19" s="303">
        <f t="shared" si="10"/>
        <v>5458.3</v>
      </c>
    </row>
    <row r="20" spans="1:35" s="26" customFormat="1" ht="37.5" customHeight="1" x14ac:dyDescent="0.25">
      <c r="A20" s="541"/>
      <c r="B20" s="631"/>
      <c r="C20" s="61" t="s">
        <v>21</v>
      </c>
      <c r="D20" s="62">
        <f>SUM(J20,L20,N20,P20,R20,T20,V20,X20,Z20,AB20,AD20,AF20)</f>
        <v>5458.3</v>
      </c>
      <c r="E20" s="62">
        <f>J20</f>
        <v>5458.3</v>
      </c>
      <c r="F20" s="62">
        <f>G20</f>
        <v>0</v>
      </c>
      <c r="G20" s="62">
        <f>SUM(K20,M20,O20,Q20,S20,U20,W20,Y20,AA20,AC20,AE20,AG20)</f>
        <v>0</v>
      </c>
      <c r="H20" s="62">
        <f t="shared" si="12"/>
        <v>0</v>
      </c>
      <c r="I20" s="62">
        <f t="shared" si="13"/>
        <v>0</v>
      </c>
      <c r="J20" s="67">
        <v>5458.3</v>
      </c>
      <c r="K20" s="67">
        <v>0</v>
      </c>
      <c r="L20" s="67">
        <v>0</v>
      </c>
      <c r="M20" s="67">
        <v>0</v>
      </c>
      <c r="N20" s="67">
        <v>0</v>
      </c>
      <c r="O20" s="67">
        <v>0</v>
      </c>
      <c r="P20" s="67">
        <v>0</v>
      </c>
      <c r="Q20" s="67">
        <v>0</v>
      </c>
      <c r="R20" s="67">
        <v>0</v>
      </c>
      <c r="S20" s="67">
        <v>0</v>
      </c>
      <c r="T20" s="67">
        <v>0</v>
      </c>
      <c r="U20" s="67">
        <v>0</v>
      </c>
      <c r="V20" s="67">
        <v>0</v>
      </c>
      <c r="W20" s="67">
        <v>0</v>
      </c>
      <c r="X20" s="67">
        <v>0</v>
      </c>
      <c r="Y20" s="67">
        <v>0</v>
      </c>
      <c r="Z20" s="67">
        <v>0</v>
      </c>
      <c r="AA20" s="67">
        <v>0</v>
      </c>
      <c r="AB20" s="67">
        <v>0</v>
      </c>
      <c r="AC20" s="67">
        <v>0</v>
      </c>
      <c r="AD20" s="67">
        <v>0</v>
      </c>
      <c r="AE20" s="67">
        <v>0</v>
      </c>
      <c r="AF20" s="67">
        <v>0</v>
      </c>
      <c r="AG20" s="67">
        <v>0</v>
      </c>
      <c r="AH20" s="72"/>
      <c r="AI20" s="303">
        <f t="shared" si="10"/>
        <v>27880.930000000008</v>
      </c>
    </row>
    <row r="21" spans="1:35" s="351" customFormat="1" ht="87.75" customHeight="1" x14ac:dyDescent="0.25">
      <c r="A21" s="569" t="s">
        <v>37</v>
      </c>
      <c r="B21" s="629" t="s">
        <v>79</v>
      </c>
      <c r="C21" s="346" t="s">
        <v>20</v>
      </c>
      <c r="D21" s="207">
        <v>233475.34</v>
      </c>
      <c r="E21" s="207">
        <f t="shared" ref="E21" si="15">E22</f>
        <v>138799.85</v>
      </c>
      <c r="F21" s="207">
        <f t="shared" ref="F21" si="16">F22</f>
        <v>110918.92</v>
      </c>
      <c r="G21" s="207">
        <f t="shared" ref="G21" si="17">G22</f>
        <v>110918.92</v>
      </c>
      <c r="H21" s="207">
        <f>IFERROR(G21/D21*100,0)</f>
        <v>47.507766773141867</v>
      </c>
      <c r="I21" s="207">
        <f>IFERROR(G21/E21*100,0)</f>
        <v>79.912852931757484</v>
      </c>
      <c r="J21" s="206">
        <f t="shared" ref="J21:AG21" si="18">SUM(J22:J22)</f>
        <v>0</v>
      </c>
      <c r="K21" s="206">
        <f t="shared" si="18"/>
        <v>0</v>
      </c>
      <c r="L21" s="206">
        <f t="shared" si="18"/>
        <v>0</v>
      </c>
      <c r="M21" s="206">
        <f t="shared" si="18"/>
        <v>0</v>
      </c>
      <c r="N21" s="206">
        <f t="shared" si="18"/>
        <v>0</v>
      </c>
      <c r="O21" s="206">
        <f t="shared" si="18"/>
        <v>0</v>
      </c>
      <c r="P21" s="206">
        <f t="shared" si="18"/>
        <v>0</v>
      </c>
      <c r="Q21" s="206">
        <f t="shared" si="18"/>
        <v>0</v>
      </c>
      <c r="R21" s="206">
        <f t="shared" si="18"/>
        <v>0</v>
      </c>
      <c r="S21" s="206">
        <f t="shared" si="18"/>
        <v>0</v>
      </c>
      <c r="T21" s="206">
        <f t="shared" si="18"/>
        <v>89282.95</v>
      </c>
      <c r="U21" s="206">
        <f t="shared" si="18"/>
        <v>89282.95</v>
      </c>
      <c r="V21" s="206">
        <f t="shared" si="18"/>
        <v>0</v>
      </c>
      <c r="W21" s="206">
        <f t="shared" si="18"/>
        <v>0</v>
      </c>
      <c r="X21" s="206">
        <f t="shared" si="18"/>
        <v>11765.6</v>
      </c>
      <c r="Y21" s="206">
        <f t="shared" si="18"/>
        <v>11765.6</v>
      </c>
      <c r="Z21" s="206">
        <f t="shared" si="18"/>
        <v>8597.48</v>
      </c>
      <c r="AA21" s="206">
        <f t="shared" si="18"/>
        <v>8597.48</v>
      </c>
      <c r="AB21" s="206">
        <f t="shared" si="18"/>
        <v>29153.82</v>
      </c>
      <c r="AC21" s="206">
        <f t="shared" si="18"/>
        <v>1272.8900000000001</v>
      </c>
      <c r="AD21" s="206">
        <f t="shared" si="18"/>
        <v>88.6</v>
      </c>
      <c r="AE21" s="206">
        <f t="shared" si="18"/>
        <v>0</v>
      </c>
      <c r="AF21" s="206">
        <f t="shared" si="18"/>
        <v>94586.89</v>
      </c>
      <c r="AG21" s="206">
        <f t="shared" si="18"/>
        <v>0</v>
      </c>
      <c r="AH21" s="347"/>
      <c r="AI21" s="352">
        <f t="shared" si="10"/>
        <v>27880.930000000008</v>
      </c>
    </row>
    <row r="22" spans="1:35" s="26" customFormat="1" ht="107.25" customHeight="1" x14ac:dyDescent="0.25">
      <c r="A22" s="570"/>
      <c r="B22" s="631"/>
      <c r="C22" s="73" t="s">
        <v>21</v>
      </c>
      <c r="D22" s="74">
        <v>233475.34</v>
      </c>
      <c r="E22" s="74">
        <v>138799.85</v>
      </c>
      <c r="F22" s="74">
        <v>110918.92</v>
      </c>
      <c r="G22" s="74">
        <v>110918.92</v>
      </c>
      <c r="H22" s="74">
        <v>50.38</v>
      </c>
      <c r="I22" s="74">
        <f>IFERROR(G22/E22*100,0)</f>
        <v>79.912852931757484</v>
      </c>
      <c r="J22" s="67">
        <v>0</v>
      </c>
      <c r="K22" s="67">
        <v>0</v>
      </c>
      <c r="L22" s="67">
        <v>0</v>
      </c>
      <c r="M22" s="67">
        <v>0</v>
      </c>
      <c r="N22" s="67">
        <v>0</v>
      </c>
      <c r="O22" s="67">
        <v>0</v>
      </c>
      <c r="P22" s="67">
        <v>0</v>
      </c>
      <c r="Q22" s="67">
        <v>0</v>
      </c>
      <c r="R22" s="67">
        <v>0</v>
      </c>
      <c r="S22" s="67">
        <v>0</v>
      </c>
      <c r="T22" s="67">
        <v>89282.95</v>
      </c>
      <c r="U22" s="67">
        <v>89282.95</v>
      </c>
      <c r="V22" s="67">
        <v>0</v>
      </c>
      <c r="W22" s="67">
        <v>0</v>
      </c>
      <c r="X22" s="67">
        <v>11765.6</v>
      </c>
      <c r="Y22" s="67">
        <v>11765.6</v>
      </c>
      <c r="Z22" s="67">
        <v>8597.48</v>
      </c>
      <c r="AA22" s="67">
        <v>8597.48</v>
      </c>
      <c r="AB22" s="67">
        <v>29153.82</v>
      </c>
      <c r="AC22" s="67">
        <v>1272.8900000000001</v>
      </c>
      <c r="AD22" s="67">
        <v>88.6</v>
      </c>
      <c r="AE22" s="67">
        <v>0</v>
      </c>
      <c r="AF22" s="67">
        <v>94586.89</v>
      </c>
      <c r="AG22" s="67">
        <v>0</v>
      </c>
      <c r="AH22" s="72"/>
      <c r="AI22" s="303">
        <f t="shared" si="10"/>
        <v>0</v>
      </c>
    </row>
    <row r="23" spans="1:35" s="26" customFormat="1" ht="20.25" customHeight="1" x14ac:dyDescent="0.25">
      <c r="A23" s="90"/>
      <c r="B23" s="632" t="s">
        <v>80</v>
      </c>
      <c r="C23" s="633"/>
      <c r="D23" s="633"/>
      <c r="E23" s="633"/>
      <c r="F23" s="633"/>
      <c r="G23" s="633"/>
      <c r="H23" s="633"/>
      <c r="I23" s="633"/>
      <c r="J23" s="633"/>
      <c r="K23" s="633"/>
      <c r="L23" s="537"/>
      <c r="M23" s="537"/>
      <c r="N23" s="537"/>
      <c r="O23" s="537"/>
      <c r="P23" s="537"/>
      <c r="Q23" s="537"/>
      <c r="R23" s="537"/>
      <c r="S23" s="537"/>
      <c r="T23" s="537"/>
      <c r="U23" s="537"/>
      <c r="V23" s="537"/>
      <c r="W23" s="537"/>
      <c r="X23" s="537"/>
      <c r="Y23" s="537"/>
      <c r="Z23" s="537"/>
      <c r="AA23" s="537"/>
      <c r="AB23" s="537"/>
      <c r="AC23" s="537"/>
      <c r="AD23" s="537"/>
      <c r="AE23" s="537"/>
      <c r="AF23" s="537"/>
      <c r="AG23" s="538"/>
      <c r="AH23" s="72"/>
      <c r="AI23" s="303">
        <f t="shared" si="10"/>
        <v>0</v>
      </c>
    </row>
    <row r="24" spans="1:35" s="351" customFormat="1" ht="270.75" customHeight="1" x14ac:dyDescent="0.25">
      <c r="A24" s="569" t="s">
        <v>38</v>
      </c>
      <c r="B24" s="629" t="s">
        <v>81</v>
      </c>
      <c r="C24" s="346" t="s">
        <v>20</v>
      </c>
      <c r="D24" s="207">
        <f>D25</f>
        <v>460.9</v>
      </c>
      <c r="E24" s="207">
        <f t="shared" ref="E24" si="19">E25</f>
        <v>0</v>
      </c>
      <c r="F24" s="207">
        <f t="shared" ref="F24" si="20">F25</f>
        <v>0</v>
      </c>
      <c r="G24" s="207">
        <f t="shared" ref="G24" si="21">G25</f>
        <v>0</v>
      </c>
      <c r="H24" s="207">
        <f>IFERROR(G24/D24*100,0)</f>
        <v>0</v>
      </c>
      <c r="I24" s="207">
        <f>IFERROR(G24/E24*100,0)</f>
        <v>0</v>
      </c>
      <c r="J24" s="206">
        <f t="shared" ref="J24:AG24" si="22">SUM(J25:J25)</f>
        <v>0</v>
      </c>
      <c r="K24" s="206">
        <f t="shared" si="22"/>
        <v>0</v>
      </c>
      <c r="L24" s="206">
        <f t="shared" si="22"/>
        <v>0</v>
      </c>
      <c r="M24" s="206">
        <f t="shared" si="22"/>
        <v>0</v>
      </c>
      <c r="N24" s="206">
        <f t="shared" si="22"/>
        <v>0</v>
      </c>
      <c r="O24" s="206">
        <f t="shared" si="22"/>
        <v>0</v>
      </c>
      <c r="P24" s="206">
        <f t="shared" si="22"/>
        <v>0</v>
      </c>
      <c r="Q24" s="206">
        <f t="shared" si="22"/>
        <v>0</v>
      </c>
      <c r="R24" s="206">
        <f t="shared" si="22"/>
        <v>0</v>
      </c>
      <c r="S24" s="206">
        <f t="shared" si="22"/>
        <v>0</v>
      </c>
      <c r="T24" s="206">
        <f t="shared" si="22"/>
        <v>0</v>
      </c>
      <c r="U24" s="206">
        <f t="shared" si="22"/>
        <v>0</v>
      </c>
      <c r="V24" s="206">
        <f t="shared" si="22"/>
        <v>0</v>
      </c>
      <c r="W24" s="206">
        <f t="shared" si="22"/>
        <v>0</v>
      </c>
      <c r="X24" s="206">
        <f t="shared" si="22"/>
        <v>0</v>
      </c>
      <c r="Y24" s="206">
        <f t="shared" si="22"/>
        <v>0</v>
      </c>
      <c r="Z24" s="206">
        <f t="shared" si="22"/>
        <v>0</v>
      </c>
      <c r="AA24" s="206">
        <f t="shared" si="22"/>
        <v>0</v>
      </c>
      <c r="AB24" s="206">
        <f t="shared" si="22"/>
        <v>0</v>
      </c>
      <c r="AC24" s="206">
        <f t="shared" si="22"/>
        <v>0</v>
      </c>
      <c r="AD24" s="206">
        <f t="shared" si="22"/>
        <v>0</v>
      </c>
      <c r="AE24" s="206">
        <f t="shared" si="22"/>
        <v>0</v>
      </c>
      <c r="AF24" s="206">
        <f t="shared" si="22"/>
        <v>460.9</v>
      </c>
      <c r="AG24" s="206">
        <f t="shared" si="22"/>
        <v>0</v>
      </c>
      <c r="AH24" s="354"/>
      <c r="AI24" s="350"/>
    </row>
    <row r="25" spans="1:35" s="26" customFormat="1" ht="165.75" customHeight="1" x14ac:dyDescent="0.25">
      <c r="A25" s="570"/>
      <c r="B25" s="631"/>
      <c r="C25" s="73" t="s">
        <v>21</v>
      </c>
      <c r="D25" s="74">
        <f>SUM(J25,L25,N25,P25,R25,T25,V25,X25,Z25,AB25,AD25,AF25)</f>
        <v>460.9</v>
      </c>
      <c r="E25" s="74">
        <f>J25</f>
        <v>0</v>
      </c>
      <c r="F25" s="74">
        <f>G25</f>
        <v>0</v>
      </c>
      <c r="G25" s="74">
        <f>SUM(K25,M25,O25,Q25,S25,U25,W25,Y25,AA25,AC25,AE25,AG25)</f>
        <v>0</v>
      </c>
      <c r="H25" s="74">
        <f>IFERROR(G25/D25*100,0)</f>
        <v>0</v>
      </c>
      <c r="I25" s="74">
        <f>IFERROR(G25/E25*100,0)</f>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460.9</v>
      </c>
      <c r="AG25" s="67">
        <v>0</v>
      </c>
      <c r="AH25" s="72"/>
      <c r="AI25" s="24"/>
    </row>
    <row r="26" spans="1:35" ht="15.75" x14ac:dyDescent="0.25">
      <c r="A26" s="91"/>
      <c r="B26" s="536" t="s">
        <v>82</v>
      </c>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8"/>
      <c r="AH26" s="92"/>
    </row>
    <row r="27" spans="1:35" s="349" customFormat="1" ht="31.5" customHeight="1" x14ac:dyDescent="0.25">
      <c r="A27" s="539" t="s">
        <v>63</v>
      </c>
      <c r="B27" s="527" t="s">
        <v>83</v>
      </c>
      <c r="C27" s="346" t="s">
        <v>20</v>
      </c>
      <c r="D27" s="207">
        <f>D29+D30+D28</f>
        <v>93790.200000000012</v>
      </c>
      <c r="E27" s="207">
        <f t="shared" ref="E27:G27" si="23">E29+E30+E28</f>
        <v>0</v>
      </c>
      <c r="F27" s="207">
        <f t="shared" si="23"/>
        <v>0</v>
      </c>
      <c r="G27" s="207">
        <f t="shared" si="23"/>
        <v>0</v>
      </c>
      <c r="H27" s="207">
        <f t="shared" ref="H27:H30" si="24">IFERROR(G27/D27*100,0)</f>
        <v>0</v>
      </c>
      <c r="I27" s="207">
        <f t="shared" ref="I27:I30" si="25">IFERROR(G27/E27*100,0)</f>
        <v>0</v>
      </c>
      <c r="J27" s="207">
        <f t="shared" ref="J27:AG27" si="26">J29+J30+J28</f>
        <v>0</v>
      </c>
      <c r="K27" s="207">
        <f t="shared" si="26"/>
        <v>0</v>
      </c>
      <c r="L27" s="207">
        <f t="shared" si="26"/>
        <v>0</v>
      </c>
      <c r="M27" s="207">
        <f t="shared" si="26"/>
        <v>0</v>
      </c>
      <c r="N27" s="207">
        <f t="shared" si="26"/>
        <v>0</v>
      </c>
      <c r="O27" s="207">
        <f t="shared" si="26"/>
        <v>0</v>
      </c>
      <c r="P27" s="207">
        <f t="shared" si="26"/>
        <v>0</v>
      </c>
      <c r="Q27" s="207">
        <f t="shared" si="26"/>
        <v>0</v>
      </c>
      <c r="R27" s="207">
        <f t="shared" si="26"/>
        <v>0</v>
      </c>
      <c r="S27" s="207">
        <f t="shared" si="26"/>
        <v>0</v>
      </c>
      <c r="T27" s="207">
        <f t="shared" si="26"/>
        <v>0</v>
      </c>
      <c r="U27" s="207">
        <f t="shared" si="26"/>
        <v>0</v>
      </c>
      <c r="V27" s="207">
        <f t="shared" si="26"/>
        <v>0</v>
      </c>
      <c r="W27" s="207">
        <f t="shared" si="26"/>
        <v>0</v>
      </c>
      <c r="X27" s="207">
        <f t="shared" si="26"/>
        <v>0</v>
      </c>
      <c r="Y27" s="207">
        <f t="shared" si="26"/>
        <v>0</v>
      </c>
      <c r="Z27" s="207">
        <f t="shared" si="26"/>
        <v>0</v>
      </c>
      <c r="AA27" s="207">
        <f t="shared" si="26"/>
        <v>0</v>
      </c>
      <c r="AB27" s="207">
        <f t="shared" si="26"/>
        <v>0</v>
      </c>
      <c r="AC27" s="207">
        <f t="shared" si="26"/>
        <v>0</v>
      </c>
      <c r="AD27" s="207">
        <f t="shared" si="26"/>
        <v>0</v>
      </c>
      <c r="AE27" s="207">
        <f t="shared" si="26"/>
        <v>0</v>
      </c>
      <c r="AF27" s="207">
        <f t="shared" si="26"/>
        <v>93790.200000000012</v>
      </c>
      <c r="AG27" s="207">
        <f t="shared" si="26"/>
        <v>0</v>
      </c>
      <c r="AH27" s="347"/>
      <c r="AI27" s="348"/>
    </row>
    <row r="28" spans="1:35" s="21" customFormat="1" ht="42.75" hidden="1" customHeight="1" x14ac:dyDescent="0.25">
      <c r="A28" s="540"/>
      <c r="B28" s="528"/>
      <c r="C28" s="61" t="s">
        <v>52</v>
      </c>
      <c r="D28" s="62">
        <f>SUM(J28,L28,N28,P28,R28,T28,V28,X28,Z28,AB28,AD28,AF28)</f>
        <v>0</v>
      </c>
      <c r="E28" s="62">
        <f>J28</f>
        <v>0</v>
      </c>
      <c r="F28" s="62">
        <f>G28</f>
        <v>0</v>
      </c>
      <c r="G28" s="62">
        <f>SUM(K28,M28,O28,Q28,S28,U28,W28,Y28,AA28,AC28,AE28,AG28)</f>
        <v>0</v>
      </c>
      <c r="H28" s="62">
        <f t="shared" si="24"/>
        <v>0</v>
      </c>
      <c r="I28" s="62">
        <f t="shared" si="25"/>
        <v>0</v>
      </c>
      <c r="J28" s="62">
        <v>0</v>
      </c>
      <c r="K28" s="62">
        <v>0</v>
      </c>
      <c r="L28" s="62">
        <v>0</v>
      </c>
      <c r="M28" s="62">
        <v>0</v>
      </c>
      <c r="N28" s="62">
        <v>0</v>
      </c>
      <c r="O28" s="62">
        <v>0</v>
      </c>
      <c r="P28" s="62">
        <v>0</v>
      </c>
      <c r="Q28" s="62">
        <v>0</v>
      </c>
      <c r="R28" s="62">
        <v>0</v>
      </c>
      <c r="S28" s="62">
        <v>0</v>
      </c>
      <c r="T28" s="62">
        <v>0</v>
      </c>
      <c r="U28" s="62">
        <v>0</v>
      </c>
      <c r="V28" s="62">
        <v>0</v>
      </c>
      <c r="W28" s="62">
        <v>0</v>
      </c>
      <c r="X28" s="62">
        <v>0</v>
      </c>
      <c r="Y28" s="62">
        <v>0</v>
      </c>
      <c r="Z28" s="62">
        <v>0</v>
      </c>
      <c r="AA28" s="62">
        <v>0</v>
      </c>
      <c r="AB28" s="62">
        <v>0</v>
      </c>
      <c r="AC28" s="62">
        <v>0</v>
      </c>
      <c r="AD28" s="62">
        <v>0</v>
      </c>
      <c r="AE28" s="62">
        <v>0</v>
      </c>
      <c r="AF28" s="62">
        <v>0</v>
      </c>
      <c r="AG28" s="62">
        <v>0</v>
      </c>
      <c r="AH28" s="60"/>
      <c r="AI28" s="23"/>
    </row>
    <row r="29" spans="1:35" s="21" customFormat="1" ht="57" customHeight="1" x14ac:dyDescent="0.25">
      <c r="A29" s="540"/>
      <c r="B29" s="528"/>
      <c r="C29" s="61" t="s">
        <v>22</v>
      </c>
      <c r="D29" s="62">
        <f>SUM(J29,L29,N29,P29,R29,T29,V29,X29,Z29,AB29,AD29,AF29)</f>
        <v>75032.100000000006</v>
      </c>
      <c r="E29" s="62">
        <f>J29</f>
        <v>0</v>
      </c>
      <c r="F29" s="62">
        <f>G29</f>
        <v>0</v>
      </c>
      <c r="G29" s="62">
        <f>SUM(K29,M29,O29,Q29,S29,U29,W29,Y29,AA29,AC29,AE29,AG29)</f>
        <v>0</v>
      </c>
      <c r="H29" s="62">
        <f t="shared" si="24"/>
        <v>0</v>
      </c>
      <c r="I29" s="62">
        <f t="shared" si="25"/>
        <v>0</v>
      </c>
      <c r="J29" s="63">
        <v>0</v>
      </c>
      <c r="K29" s="63">
        <v>0</v>
      </c>
      <c r="L29" s="63">
        <v>0</v>
      </c>
      <c r="M29" s="63">
        <v>0</v>
      </c>
      <c r="N29" s="63">
        <v>0</v>
      </c>
      <c r="O29" s="63">
        <v>0</v>
      </c>
      <c r="P29" s="63">
        <v>0</v>
      </c>
      <c r="Q29" s="63">
        <v>0</v>
      </c>
      <c r="R29" s="63">
        <v>0</v>
      </c>
      <c r="S29" s="63">
        <v>0</v>
      </c>
      <c r="T29" s="63">
        <v>0</v>
      </c>
      <c r="U29" s="63">
        <v>0</v>
      </c>
      <c r="V29" s="63">
        <v>0</v>
      </c>
      <c r="W29" s="63">
        <v>0</v>
      </c>
      <c r="X29" s="63">
        <v>0</v>
      </c>
      <c r="Y29" s="63">
        <v>0</v>
      </c>
      <c r="Z29" s="63">
        <v>0</v>
      </c>
      <c r="AA29" s="63">
        <v>0</v>
      </c>
      <c r="AB29" s="63">
        <v>0</v>
      </c>
      <c r="AC29" s="63">
        <v>0</v>
      </c>
      <c r="AD29" s="63">
        <v>0</v>
      </c>
      <c r="AE29" s="63">
        <v>0</v>
      </c>
      <c r="AF29" s="63">
        <v>75032.100000000006</v>
      </c>
      <c r="AG29" s="63">
        <v>0</v>
      </c>
      <c r="AH29" s="60"/>
      <c r="AI29" s="23"/>
    </row>
    <row r="30" spans="1:35" s="22" customFormat="1" ht="108" customHeight="1" x14ac:dyDescent="0.25">
      <c r="A30" s="541"/>
      <c r="B30" s="529"/>
      <c r="C30" s="61" t="s">
        <v>21</v>
      </c>
      <c r="D30" s="62">
        <f>SUM(J30,L30,N30,P30,R30,T30,V30,X30,Z30,AB30,AD30,AF30)</f>
        <v>18758.099999999999</v>
      </c>
      <c r="E30" s="62">
        <f>J30</f>
        <v>0</v>
      </c>
      <c r="F30" s="62">
        <f>G30</f>
        <v>0</v>
      </c>
      <c r="G30" s="62">
        <f>SUM(K30,M30,O30,Q30,S30,U30,W30,Y30,AA30,AC30,AE30,AG30)</f>
        <v>0</v>
      </c>
      <c r="H30" s="62">
        <f t="shared" si="24"/>
        <v>0</v>
      </c>
      <c r="I30" s="62">
        <f t="shared" si="25"/>
        <v>0</v>
      </c>
      <c r="J30" s="67">
        <v>0</v>
      </c>
      <c r="K30" s="67">
        <v>0</v>
      </c>
      <c r="L30" s="67">
        <v>0</v>
      </c>
      <c r="M30" s="67">
        <v>0</v>
      </c>
      <c r="N30" s="67">
        <v>0</v>
      </c>
      <c r="O30" s="67">
        <v>0</v>
      </c>
      <c r="P30" s="67">
        <v>0</v>
      </c>
      <c r="Q30" s="67">
        <v>0</v>
      </c>
      <c r="R30" s="67">
        <v>0</v>
      </c>
      <c r="S30" s="67">
        <v>0</v>
      </c>
      <c r="T30" s="67">
        <v>0</v>
      </c>
      <c r="U30" s="67">
        <v>0</v>
      </c>
      <c r="V30" s="67">
        <v>0</v>
      </c>
      <c r="W30" s="67">
        <v>0</v>
      </c>
      <c r="X30" s="67">
        <v>0</v>
      </c>
      <c r="Y30" s="67">
        <v>0</v>
      </c>
      <c r="Z30" s="67">
        <v>0</v>
      </c>
      <c r="AA30" s="67">
        <v>0</v>
      </c>
      <c r="AB30" s="67">
        <v>0</v>
      </c>
      <c r="AC30" s="67">
        <v>0</v>
      </c>
      <c r="AD30" s="67">
        <v>0</v>
      </c>
      <c r="AE30" s="67">
        <v>0</v>
      </c>
      <c r="AF30" s="67">
        <v>18758.099999999999</v>
      </c>
      <c r="AG30" s="67">
        <v>0</v>
      </c>
      <c r="AH30" s="64"/>
      <c r="AI30" s="20"/>
    </row>
  </sheetData>
  <customSheetViews>
    <customSheetView guid="{133BB3F8-8DD4-4AEF-8CD6-A5FB14681329}" scale="80" hiddenRows="1" state="hidden">
      <pane xSplit="6" ySplit="7" topLeftCell="G21" activePane="bottomRight" state="frozen"/>
      <selection pane="bottomRight" activeCell="F6" sqref="F6"/>
      <pageMargins left="0.7" right="0.7" top="0.75" bottom="0.75" header="0.3" footer="0.3"/>
      <pageSetup paperSize="9" orientation="portrait" r:id="rId1"/>
    </customSheetView>
    <customSheetView guid="{7C5A2A36-3D69-43D9-9018-A52C27EC78F9}" scale="80" hiddenRows="1">
      <pane xSplit="6" ySplit="7" topLeftCell="G21" activePane="bottomRight" state="frozen"/>
      <selection pane="bottomRight" activeCell="J29" sqref="J29"/>
      <pageMargins left="0.7" right="0.7" top="0.75" bottom="0.75" header="0.3" footer="0.3"/>
      <pageSetup paperSize="9" orientation="portrait" r:id="rId2"/>
    </customSheetView>
    <customSheetView guid="{2A5A11D4-90C6-4A3E-8165-7D7BD634B22F}" scale="80" hiddenRows="1">
      <pane xSplit="6" ySplit="7" topLeftCell="G21" activePane="bottomRight" state="frozen"/>
      <selection pane="bottomRight" activeCell="J29" sqref="J29"/>
      <pageMargins left="0.7" right="0.7" top="0.75" bottom="0.75" header="0.3" footer="0.3"/>
      <pageSetup paperSize="9" orientation="portrait" r:id="rId3"/>
    </customSheetView>
    <customSheetView guid="{996EC2F0-F6EC-4E63-A83E-34865157BD8D}" scale="80" hiddenRows="1">
      <pane xSplit="6" ySplit="7" topLeftCell="G21" activePane="bottomRight" state="frozen"/>
      <selection pane="bottomRight" activeCell="J29" sqref="J29"/>
      <pageMargins left="0.7" right="0.7" top="0.75" bottom="0.75" header="0.3" footer="0.3"/>
      <pageSetup paperSize="9" orientation="portrait" r:id="rId4"/>
    </customSheetView>
    <customSheetView guid="{AB9978E4-895D-4050-8F07-2484E22632D1}" scale="80" hiddenRows="1">
      <pane xSplit="6" ySplit="7" topLeftCell="G8" activePane="bottomRight" state="frozen"/>
      <selection pane="bottomRight" activeCell="J29" sqref="J29"/>
      <pageMargins left="0.7" right="0.7" top="0.75" bottom="0.75" header="0.3" footer="0.3"/>
      <pageSetup paperSize="9" orientation="portrait" r:id="rId5"/>
    </customSheetView>
    <customSheetView guid="{21E1D423-7B38-4272-8354-09B4DB62C9EB}" scale="80" hiddenRows="1">
      <pane xSplit="6" ySplit="7" topLeftCell="G8" activePane="bottomRight" state="frozen"/>
      <selection pane="bottomRight" activeCell="J29" sqref="J29"/>
      <pageMargins left="0.7" right="0.7" top="0.75" bottom="0.75" header="0.3" footer="0.3"/>
      <pageSetup paperSize="9" orientation="portrait" r:id="rId6"/>
    </customSheetView>
    <customSheetView guid="{2940A182-D1A7-43C5-8D6E-965BED4371B0}" scale="80" hiddenRows="1">
      <pane xSplit="6" ySplit="7" topLeftCell="G21" activePane="bottomRight" state="frozen"/>
      <selection pane="bottomRight" activeCell="J29" sqref="J29"/>
      <pageMargins left="0.7" right="0.7" top="0.75" bottom="0.75" header="0.3" footer="0.3"/>
      <pageSetup paperSize="9" orientation="portrait" r:id="rId7"/>
    </customSheetView>
    <customSheetView guid="{A0E2FBF6-E560-4343-8BE6-217DC798135B}" scale="80" hiddenRows="1">
      <pane xSplit="6" ySplit="7" topLeftCell="G21" activePane="bottomRight" state="frozen"/>
      <selection pane="bottomRight" activeCell="J29" sqref="J29"/>
      <pageMargins left="0.7" right="0.7" top="0.75" bottom="0.75" header="0.3" footer="0.3"/>
      <pageSetup paperSize="9" orientation="portrait" r:id="rId8"/>
    </customSheetView>
    <customSheetView guid="{BBF6B43F-E0FC-43DF-B91C-674F6AB4B556}" scale="80" hiddenRows="1">
      <pane xSplit="6" ySplit="7" topLeftCell="G21" activePane="bottomRight" state="frozen"/>
      <selection pane="bottomRight" activeCell="J29" sqref="J29"/>
      <pageMargins left="0.7" right="0.7" top="0.75" bottom="0.75" header="0.3" footer="0.3"/>
      <pageSetup paperSize="9" orientation="portrait" r:id="rId9"/>
    </customSheetView>
    <customSheetView guid="{C68436F4-AFB3-4D1D-A7C4-56D0C677D68E}" scale="80" hiddenRows="1">
      <pane xSplit="6" ySplit="7" topLeftCell="G21" activePane="bottomRight" state="frozen"/>
      <selection pane="bottomRight" activeCell="J29" sqref="J29"/>
      <pageMargins left="0.7" right="0.7" top="0.75" bottom="0.75" header="0.3" footer="0.3"/>
      <pageSetup paperSize="9" orientation="portrait" r:id="rId10"/>
    </customSheetView>
    <customSheetView guid="{DAEDC989-02E7-4319-8354-59410ACF3F1F}" scale="60" hiddenRows="1">
      <pane xSplit="6" ySplit="7" topLeftCell="M15" activePane="bottomRight" state="frozen"/>
      <selection pane="bottomRight" activeCell="B21" sqref="B21:B22"/>
      <pageMargins left="0.7" right="0.7" top="0.75" bottom="0.75" header="0.3" footer="0.3"/>
      <pageSetup paperSize="9" orientation="portrait" r:id="rId11"/>
    </customSheetView>
    <customSheetView guid="{519948E4-0B24-465F-9D9E-44BE50D1D647}" scale="80" hiddenRows="1">
      <pane xSplit="6" ySplit="7" topLeftCell="G21" activePane="bottomRight" state="frozen"/>
      <selection pane="bottomRight" activeCell="J29" sqref="J29"/>
      <pageMargins left="0.7" right="0.7" top="0.75" bottom="0.75" header="0.3" footer="0.3"/>
      <pageSetup paperSize="9" orientation="portrait" r:id="rId12"/>
    </customSheetView>
    <customSheetView guid="{C7DC638A-7F60-46C9-A1FB-9ADEAE87F332}" scale="80" hiddenRows="1">
      <pane xSplit="6" ySplit="7" topLeftCell="G21" activePane="bottomRight" state="frozen"/>
      <selection pane="bottomRight" activeCell="J29" sqref="J29"/>
      <pageMargins left="0.7" right="0.7" top="0.75" bottom="0.75" header="0.3" footer="0.3"/>
      <pageSetup paperSize="9" orientation="portrait" r:id="rId13"/>
    </customSheetView>
    <customSheetView guid="{C01DC081-B312-4391-B775-A8CE76216D71}" scale="80" hiddenRows="1">
      <pane xSplit="6" ySplit="7" topLeftCell="G21" activePane="bottomRight" state="frozen"/>
      <selection pane="bottomRight" activeCell="J29" sqref="J29"/>
      <pageMargins left="0.7" right="0.7" top="0.75" bottom="0.75" header="0.3" footer="0.3"/>
      <pageSetup paperSize="9" orientation="portrait" r:id="rId14"/>
    </customSheetView>
    <customSheetView guid="{562453CE-35F5-40A3-AD14-6399D1197C99}" scale="80" hiddenRows="1">
      <pane xSplit="6" ySplit="7" topLeftCell="G21" activePane="bottomRight" state="frozen"/>
      <selection pane="bottomRight" activeCell="J29" sqref="J29"/>
      <pageMargins left="0.7" right="0.7" top="0.75" bottom="0.75" header="0.3" footer="0.3"/>
      <pageSetup paperSize="9" orientation="portrait" r:id="rId15"/>
    </customSheetView>
    <customSheetView guid="{A7640BE7-6438-4196-9A67-AF5B992A1E70}" scale="80" hiddenRows="1">
      <pane xSplit="6" ySplit="7" topLeftCell="G24" activePane="bottomRight" state="frozen"/>
      <selection pane="bottomRight" activeCell="J31" sqref="J31"/>
      <pageMargins left="0.7" right="0.7" top="0.75" bottom="0.75" header="0.3" footer="0.3"/>
      <pageSetup paperSize="9" orientation="portrait" r:id="rId16"/>
    </customSheetView>
    <customSheetView guid="{30B635D9-57DB-47D5-8A0F-4B30DD769960}" scale="80" hiddenRows="1">
      <pane xSplit="6" ySplit="7" topLeftCell="T13" activePane="bottomRight" state="frozen"/>
      <selection pane="bottomRight" activeCell="W3" sqref="W3"/>
      <pageMargins left="0.7" right="0.7" top="0.75" bottom="0.75" header="0.3" footer="0.3"/>
      <pageSetup paperSize="9" orientation="portrait" r:id="rId17"/>
    </customSheetView>
    <customSheetView guid="{20A05A62-CBE8-4538-BBC3-2AD9D3B8FAC0}" scale="80" hiddenRows="1">
      <pane xSplit="6" ySplit="7" topLeftCell="G21" activePane="bottomRight" state="frozen"/>
      <selection pane="bottomRight" activeCell="J29" sqref="J29"/>
      <pageMargins left="0.7" right="0.7" top="0.75" bottom="0.75" header="0.3" footer="0.3"/>
      <pageSetup paperSize="9" orientation="portrait" r:id="rId18"/>
    </customSheetView>
    <customSheetView guid="{C282AA4E-1BB5-4296-9AC6-844C0F88E5FC}" scale="80" hiddenRows="1">
      <pane xSplit="6" ySplit="7" topLeftCell="G21" activePane="bottomRight" state="frozen"/>
      <selection pane="bottomRight" activeCell="J29" sqref="J29"/>
      <pageMargins left="0.7" right="0.7" top="0.75" bottom="0.75" header="0.3" footer="0.3"/>
      <pageSetup paperSize="9" orientation="portrait" r:id="rId19"/>
    </customSheetView>
    <customSheetView guid="{4E221C17-6DAB-4FFA-B18C-35D4D85AF6E8}" scale="80" hiddenRows="1">
      <pane xSplit="6" ySplit="7" topLeftCell="U22" activePane="bottomRight" state="frozen"/>
      <selection pane="bottomRight" activeCell="AH24" sqref="AH24"/>
      <pageMargins left="0.7" right="0.7" top="0.75" bottom="0.75" header="0.3" footer="0.3"/>
      <pageSetup paperSize="9" orientation="portrait" r:id="rId20"/>
    </customSheetView>
    <customSheetView guid="{AFADB96A-0516-43C1-9F1B-0604F3CAC04A}" scale="80" hiddenRows="1">
      <pane xSplit="6" ySplit="7" topLeftCell="G21" activePane="bottomRight" state="frozen"/>
      <selection pane="bottomRight" activeCell="J29" sqref="J29"/>
      <pageMargins left="0.7" right="0.7" top="0.75" bottom="0.75" header="0.3" footer="0.3"/>
      <pageSetup paperSize="9" orientation="portrait" r:id="rId21"/>
    </customSheetView>
    <customSheetView guid="{F528EF6A-C113-49B5-B25F-D660F898CBFB}" scale="80" hiddenRows="1">
      <pane xSplit="6" ySplit="7" topLeftCell="G21" activePane="bottomRight" state="frozen"/>
      <selection pane="bottomRight" activeCell="J29" sqref="J29"/>
      <pageMargins left="0.7" right="0.7" top="0.75" bottom="0.75" header="0.3" footer="0.3"/>
      <pageSetup paperSize="9" orientation="portrait" r:id="rId22"/>
    </customSheetView>
    <customSheetView guid="{B6B60ED6-A6CC-4DA7-A8CA-5E6DB52D5A87}" scale="80" hiddenRows="1">
      <pane xSplit="6" ySplit="7" topLeftCell="G21" activePane="bottomRight" state="frozen"/>
      <selection pane="bottomRight" activeCell="J29" sqref="J29"/>
      <pageMargins left="0.7" right="0.7" top="0.75" bottom="0.75" header="0.3" footer="0.3"/>
      <pageSetup paperSize="9" orientation="portrait" r:id="rId23"/>
    </customSheetView>
    <customSheetView guid="{A4AF2100-C59D-4F60-9EAB-56D9103463F7}" scale="80" hiddenRows="1">
      <pane xSplit="6" ySplit="7" topLeftCell="R8" activePane="bottomRight" state="frozen"/>
      <selection pane="bottomRight" activeCell="D15" sqref="D15"/>
      <pageMargins left="0.7" right="0.7" top="0.75" bottom="0.75" header="0.3" footer="0.3"/>
      <pageSetup paperSize="9" orientation="portrait" r:id="rId24"/>
    </customSheetView>
    <customSheetView guid="{EA46B61D-849C-4795-A4FF-F8F1740022EB}" scale="80" hiddenRows="1">
      <pane xSplit="6" ySplit="7" topLeftCell="G21" activePane="bottomRight" state="frozen"/>
      <selection pane="bottomRight" activeCell="J29" sqref="J29"/>
      <pageMargins left="0.7" right="0.7" top="0.75" bottom="0.75" header="0.3" footer="0.3"/>
      <pageSetup paperSize="9" orientation="portrait" r:id="rId25"/>
    </customSheetView>
    <customSheetView guid="{B686A221-D885-4536-BEAC-E7F4BBC02150}" scale="80" hiddenRows="1">
      <pane xSplit="6" ySplit="7" topLeftCell="G21" activePane="bottomRight" state="frozen"/>
      <selection pane="bottomRight" activeCell="J29" sqref="J29"/>
      <pageMargins left="0.7" right="0.7" top="0.75" bottom="0.75" header="0.3" footer="0.3"/>
      <pageSetup paperSize="9" orientation="portrait" r:id="rId26"/>
    </customSheetView>
    <customSheetView guid="{60A1F930-4BEC-460A-8E14-01E47F6DD055}" scale="80" hiddenRows="1">
      <pane xSplit="6" ySplit="4" topLeftCell="G21" activePane="bottomRight" state="frozen"/>
      <selection pane="bottomRight" activeCell="J29" sqref="J29"/>
      <pageMargins left="0.7" right="0.7" top="0.75" bottom="0.75" header="0.3" footer="0.3"/>
      <pageSetup paperSize="9" orientation="portrait" r:id="rId27"/>
    </customSheetView>
    <customSheetView guid="{5DF2C78B-5EE4-439D-8D72-8D3A913B65F9}" scale="80" hiddenRows="1">
      <pane xSplit="6" ySplit="7" topLeftCell="G21" activePane="bottomRight" state="frozen"/>
      <selection pane="bottomRight" activeCell="J29" sqref="J29"/>
      <pageMargins left="0.7" right="0.7" top="0.75" bottom="0.75" header="0.3" footer="0.3"/>
      <pageSetup paperSize="9" orientation="portrait" r:id="rId28"/>
    </customSheetView>
  </customSheetViews>
  <mergeCells count="38">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27:A30"/>
    <mergeCell ref="B27:B30"/>
    <mergeCell ref="A17:A20"/>
    <mergeCell ref="B17:B20"/>
    <mergeCell ref="A21:A22"/>
    <mergeCell ref="B21:B22"/>
    <mergeCell ref="B23:AG23"/>
    <mergeCell ref="A24:A25"/>
    <mergeCell ref="B24:B25"/>
    <mergeCell ref="B26:AG26"/>
  </mergeCells>
  <pageMargins left="0.7" right="0.7" top="0.75" bottom="0.75" header="0.3" footer="0.3"/>
  <pageSetup paperSize="9" orientation="portrait" r:id="rId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1. РО</vt:lpstr>
      <vt:lpstr>2. СОГХ</vt:lpstr>
      <vt:lpstr>3. ФКГС</vt:lpstr>
      <vt:lpstr>4. КП</vt:lpstr>
      <vt:lpstr>5.РФКиС</vt:lpstr>
      <vt:lpstr>6. СЗН</vt:lpstr>
      <vt:lpstr>7. АПК</vt:lpstr>
      <vt:lpstr>8. РЖС</vt:lpstr>
      <vt:lpstr>9. РЖКК</vt:lpstr>
      <vt:lpstr>10.ПП</vt:lpstr>
      <vt:lpstr>11. БЖД</vt:lpstr>
      <vt:lpstr>12. ЭБ</vt:lpstr>
      <vt:lpstr>13. Экон. разв.</vt:lpstr>
      <vt:lpstr>14. РТС</vt:lpstr>
      <vt:lpstr>15. УМФ</vt:lpstr>
      <vt:lpstr>16. РГО</vt:lpstr>
      <vt:lpstr>17. УМИ</vt:lpstr>
      <vt:lpstr>18. Экстремизм</vt:lpstr>
      <vt:lpstr>19.РМС</vt:lpstr>
      <vt:lpstr>20. МСП</vt:lpstr>
      <vt:lpstr>Лист1</vt:lpstr>
      <vt:lpstr>'17. УМИ'!Заголовки_для_печати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Лукманова Эльвира Наильевна</cp:lastModifiedBy>
  <cp:lastPrinted>2025-11-06T12:29:32Z</cp:lastPrinted>
  <dcterms:created xsi:type="dcterms:W3CDTF">2025-01-13T06:45:30Z</dcterms:created>
  <dcterms:modified xsi:type="dcterms:W3CDTF">2025-11-13T05:46:23Z</dcterms:modified>
</cp:coreProperties>
</file>