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4" i="1" l="1"/>
  <c r="H104" i="1" s="1"/>
  <c r="F104" i="1"/>
  <c r="F103" i="1" s="1"/>
  <c r="E104" i="1"/>
  <c r="E103" i="1" s="1"/>
  <c r="D104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G103" i="1"/>
  <c r="D103" i="1"/>
  <c r="I102" i="1"/>
  <c r="G102" i="1"/>
  <c r="E102" i="1"/>
  <c r="D102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E101" i="1"/>
  <c r="D101" i="1"/>
  <c r="AG100" i="1"/>
  <c r="AF100" i="1"/>
  <c r="AE100" i="1"/>
  <c r="AD100" i="1"/>
  <c r="AD99" i="1" s="1"/>
  <c r="AC100" i="1"/>
  <c r="AB100" i="1"/>
  <c r="AA100" i="1"/>
  <c r="AA99" i="1" s="1"/>
  <c r="Z100" i="1"/>
  <c r="Z99" i="1" s="1"/>
  <c r="Y100" i="1"/>
  <c r="X100" i="1"/>
  <c r="W100" i="1"/>
  <c r="W99" i="1" s="1"/>
  <c r="V100" i="1"/>
  <c r="V99" i="1" s="1"/>
  <c r="U100" i="1"/>
  <c r="T100" i="1"/>
  <c r="S100" i="1"/>
  <c r="R100" i="1"/>
  <c r="R99" i="1" s="1"/>
  <c r="Q100" i="1"/>
  <c r="P100" i="1"/>
  <c r="O100" i="1"/>
  <c r="N100" i="1"/>
  <c r="N99" i="1" s="1"/>
  <c r="M100" i="1"/>
  <c r="L100" i="1"/>
  <c r="K100" i="1"/>
  <c r="J100" i="1"/>
  <c r="E100" i="1"/>
  <c r="E99" i="1" s="1"/>
  <c r="AG99" i="1"/>
  <c r="AF99" i="1"/>
  <c r="AE99" i="1"/>
  <c r="AC99" i="1"/>
  <c r="AB99" i="1"/>
  <c r="Y99" i="1"/>
  <c r="X99" i="1"/>
  <c r="U99" i="1"/>
  <c r="T99" i="1"/>
  <c r="S99" i="1"/>
  <c r="Q99" i="1"/>
  <c r="P99" i="1"/>
  <c r="O99" i="1"/>
  <c r="M99" i="1"/>
  <c r="L99" i="1"/>
  <c r="I97" i="1"/>
  <c r="G97" i="1"/>
  <c r="H97" i="1" s="1"/>
  <c r="F97" i="1"/>
  <c r="F96" i="1" s="1"/>
  <c r="E97" i="1"/>
  <c r="E96" i="1" s="1"/>
  <c r="D97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G96" i="1"/>
  <c r="D96" i="1"/>
  <c r="X95" i="1"/>
  <c r="X94" i="1" s="1"/>
  <c r="L95" i="1"/>
  <c r="G95" i="1"/>
  <c r="F95" i="1" s="1"/>
  <c r="E95" i="1"/>
  <c r="I95" i="1" s="1"/>
  <c r="D95" i="1"/>
  <c r="D94" i="1" s="1"/>
  <c r="AG94" i="1"/>
  <c r="AF94" i="1"/>
  <c r="AE94" i="1"/>
  <c r="AD94" i="1"/>
  <c r="AC94" i="1"/>
  <c r="AB94" i="1"/>
  <c r="AA94" i="1"/>
  <c r="Z94" i="1"/>
  <c r="Y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F94" i="1"/>
  <c r="AG93" i="1"/>
  <c r="AG92" i="1" s="1"/>
  <c r="AF93" i="1"/>
  <c r="AF92" i="1" s="1"/>
  <c r="AE93" i="1"/>
  <c r="AD93" i="1"/>
  <c r="AC93" i="1"/>
  <c r="AB93" i="1"/>
  <c r="AB92" i="1" s="1"/>
  <c r="AA93" i="1"/>
  <c r="AA92" i="1" s="1"/>
  <c r="Z93" i="1"/>
  <c r="Y93" i="1"/>
  <c r="Y92" i="1" s="1"/>
  <c r="X93" i="1"/>
  <c r="X92" i="1" s="1"/>
  <c r="W93" i="1"/>
  <c r="V93" i="1"/>
  <c r="U93" i="1"/>
  <c r="U92" i="1" s="1"/>
  <c r="T93" i="1"/>
  <c r="T92" i="1" s="1"/>
  <c r="S93" i="1"/>
  <c r="R93" i="1"/>
  <c r="Q93" i="1"/>
  <c r="Q92" i="1" s="1"/>
  <c r="P93" i="1"/>
  <c r="P92" i="1" s="1"/>
  <c r="O93" i="1"/>
  <c r="N93" i="1"/>
  <c r="M93" i="1"/>
  <c r="G93" i="1" s="1"/>
  <c r="L93" i="1"/>
  <c r="L92" i="1" s="1"/>
  <c r="K93" i="1"/>
  <c r="K92" i="1" s="1"/>
  <c r="J93" i="1"/>
  <c r="E93" i="1"/>
  <c r="E92" i="1" s="1"/>
  <c r="D93" i="1"/>
  <c r="D92" i="1" s="1"/>
  <c r="AE92" i="1"/>
  <c r="AD92" i="1"/>
  <c r="AC92" i="1"/>
  <c r="Z92" i="1"/>
  <c r="W92" i="1"/>
  <c r="V92" i="1"/>
  <c r="S92" i="1"/>
  <c r="R92" i="1"/>
  <c r="O92" i="1"/>
  <c r="N92" i="1"/>
  <c r="J92" i="1"/>
  <c r="G92" i="1"/>
  <c r="H92" i="1" s="1"/>
  <c r="I90" i="1"/>
  <c r="H90" i="1"/>
  <c r="G90" i="1"/>
  <c r="F90" i="1" s="1"/>
  <c r="E90" i="1"/>
  <c r="D90" i="1"/>
  <c r="D89" i="1" s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G89" i="1"/>
  <c r="F89" i="1"/>
  <c r="E89" i="1"/>
  <c r="G88" i="1"/>
  <c r="F88" i="1" s="1"/>
  <c r="E88" i="1"/>
  <c r="I88" i="1" s="1"/>
  <c r="D88" i="1"/>
  <c r="D87" i="1" s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G87" i="1"/>
  <c r="F87" i="1"/>
  <c r="E87" i="1"/>
  <c r="N86" i="1"/>
  <c r="G86" i="1"/>
  <c r="F86" i="1"/>
  <c r="E86" i="1"/>
  <c r="E85" i="1" s="1"/>
  <c r="D86" i="1"/>
  <c r="H86" i="1" s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H85" i="1"/>
  <c r="G85" i="1"/>
  <c r="F85" i="1"/>
  <c r="D85" i="1"/>
  <c r="AB84" i="1"/>
  <c r="G84" i="1"/>
  <c r="F84" i="1"/>
  <c r="F83" i="1" s="1"/>
  <c r="E84" i="1"/>
  <c r="AG83" i="1"/>
  <c r="AF83" i="1"/>
  <c r="AE83" i="1"/>
  <c r="AD83" i="1"/>
  <c r="AC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G83" i="1"/>
  <c r="E83" i="1"/>
  <c r="AF82" i="1"/>
  <c r="AF81" i="1" s="1"/>
  <c r="R82" i="1"/>
  <c r="P82" i="1"/>
  <c r="P81" i="1" s="1"/>
  <c r="O82" i="1"/>
  <c r="N82" i="1"/>
  <c r="N80" i="1" s="1"/>
  <c r="N79" i="1" s="1"/>
  <c r="L82" i="1"/>
  <c r="G82" i="1"/>
  <c r="F82" i="1" s="1"/>
  <c r="F81" i="1" s="1"/>
  <c r="E82" i="1"/>
  <c r="E81" i="1" s="1"/>
  <c r="D82" i="1"/>
  <c r="D81" i="1" s="1"/>
  <c r="AG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O81" i="1"/>
  <c r="N81" i="1"/>
  <c r="M81" i="1"/>
  <c r="L81" i="1"/>
  <c r="K81" i="1"/>
  <c r="J81" i="1"/>
  <c r="I81" i="1"/>
  <c r="G81" i="1"/>
  <c r="H81" i="1" s="1"/>
  <c r="AG80" i="1"/>
  <c r="AF80" i="1"/>
  <c r="AF79" i="1" s="1"/>
  <c r="AE80" i="1"/>
  <c r="AD80" i="1"/>
  <c r="AC80" i="1"/>
  <c r="AC79" i="1" s="1"/>
  <c r="AB80" i="1"/>
  <c r="AB79" i="1" s="1"/>
  <c r="AA80" i="1"/>
  <c r="Z80" i="1"/>
  <c r="Y80" i="1"/>
  <c r="Y79" i="1" s="1"/>
  <c r="X80" i="1"/>
  <c r="X79" i="1" s="1"/>
  <c r="W80" i="1"/>
  <c r="V80" i="1"/>
  <c r="U80" i="1"/>
  <c r="T80" i="1"/>
  <c r="T79" i="1" s="1"/>
  <c r="S80" i="1"/>
  <c r="R80" i="1"/>
  <c r="Q80" i="1"/>
  <c r="P80" i="1"/>
  <c r="P79" i="1" s="1"/>
  <c r="O80" i="1"/>
  <c r="M80" i="1"/>
  <c r="L80" i="1"/>
  <c r="K80" i="1"/>
  <c r="G80" i="1" s="1"/>
  <c r="J80" i="1"/>
  <c r="AG79" i="1"/>
  <c r="AE79" i="1"/>
  <c r="AD79" i="1"/>
  <c r="AA79" i="1"/>
  <c r="Z79" i="1"/>
  <c r="W79" i="1"/>
  <c r="V79" i="1"/>
  <c r="U79" i="1"/>
  <c r="S79" i="1"/>
  <c r="R79" i="1"/>
  <c r="Q79" i="1"/>
  <c r="O79" i="1"/>
  <c r="M79" i="1"/>
  <c r="K79" i="1"/>
  <c r="J79" i="1"/>
  <c r="AF78" i="1"/>
  <c r="G78" i="1"/>
  <c r="F78" i="1"/>
  <c r="E78" i="1"/>
  <c r="D78" i="1"/>
  <c r="H78" i="1" s="1"/>
  <c r="G77" i="1"/>
  <c r="I77" i="1" s="1"/>
  <c r="F77" i="1"/>
  <c r="E77" i="1"/>
  <c r="D77" i="1"/>
  <c r="H77" i="1" s="1"/>
  <c r="V76" i="1"/>
  <c r="T76" i="1"/>
  <c r="G76" i="1"/>
  <c r="E76" i="1"/>
  <c r="D76" i="1"/>
  <c r="D74" i="1" s="1"/>
  <c r="G75" i="1"/>
  <c r="F75" i="1"/>
  <c r="E75" i="1"/>
  <c r="I75" i="1" s="1"/>
  <c r="D75" i="1"/>
  <c r="H75" i="1" s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G74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AG72" i="1"/>
  <c r="AF72" i="1"/>
  <c r="AE72" i="1"/>
  <c r="AD72" i="1"/>
  <c r="AC72" i="1"/>
  <c r="AB72" i="1"/>
  <c r="AA72" i="1"/>
  <c r="Z72" i="1"/>
  <c r="Z70" i="1" s="1"/>
  <c r="Y72" i="1"/>
  <c r="X72" i="1"/>
  <c r="X70" i="1" s="1"/>
  <c r="W72" i="1"/>
  <c r="V72" i="1"/>
  <c r="U72" i="1"/>
  <c r="T72" i="1"/>
  <c r="T70" i="1" s="1"/>
  <c r="S72" i="1"/>
  <c r="R72" i="1"/>
  <c r="Q72" i="1"/>
  <c r="P72" i="1"/>
  <c r="P70" i="1" s="1"/>
  <c r="O72" i="1"/>
  <c r="N72" i="1"/>
  <c r="M72" i="1"/>
  <c r="L72" i="1"/>
  <c r="D72" i="1" s="1"/>
  <c r="K72" i="1"/>
  <c r="J72" i="1"/>
  <c r="G72" i="1"/>
  <c r="H72" i="1" s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G71" i="1" s="1"/>
  <c r="F71" i="1" s="1"/>
  <c r="L71" i="1"/>
  <c r="K71" i="1"/>
  <c r="J71" i="1"/>
  <c r="I71" i="1"/>
  <c r="E71" i="1"/>
  <c r="D71" i="1"/>
  <c r="AF70" i="1"/>
  <c r="AE70" i="1"/>
  <c r="AD70" i="1"/>
  <c r="AB70" i="1"/>
  <c r="AA70" i="1"/>
  <c r="W70" i="1"/>
  <c r="V70" i="1"/>
  <c r="S70" i="1"/>
  <c r="R70" i="1"/>
  <c r="O70" i="1"/>
  <c r="N70" i="1"/>
  <c r="L70" i="1"/>
  <c r="K70" i="1"/>
  <c r="AF68" i="1"/>
  <c r="T68" i="1"/>
  <c r="D68" i="1" s="1"/>
  <c r="D65" i="1" s="1"/>
  <c r="N68" i="1"/>
  <c r="G68" i="1"/>
  <c r="E68" i="1"/>
  <c r="E65" i="1" s="1"/>
  <c r="T67" i="1"/>
  <c r="N67" i="1"/>
  <c r="I67" i="1"/>
  <c r="G67" i="1"/>
  <c r="F67" i="1" s="1"/>
  <c r="E67" i="1"/>
  <c r="D67" i="1"/>
  <c r="T66" i="1"/>
  <c r="G66" i="1"/>
  <c r="E66" i="1"/>
  <c r="D66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X64" i="1"/>
  <c r="V64" i="1"/>
  <c r="G64" i="1"/>
  <c r="F64" i="1"/>
  <c r="E64" i="1"/>
  <c r="E63" i="1" s="1"/>
  <c r="D64" i="1"/>
  <c r="H64" i="1" s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G63" i="1"/>
  <c r="F63" i="1"/>
  <c r="D63" i="1"/>
  <c r="H63" i="1" s="1"/>
  <c r="V62" i="1"/>
  <c r="N62" i="1"/>
  <c r="E62" i="1" s="1"/>
  <c r="G62" i="1"/>
  <c r="AG61" i="1"/>
  <c r="AF61" i="1"/>
  <c r="AE61" i="1"/>
  <c r="AD61" i="1"/>
  <c r="AC61" i="1"/>
  <c r="AB61" i="1"/>
  <c r="AA61" i="1"/>
  <c r="Z61" i="1"/>
  <c r="Y61" i="1"/>
  <c r="X61" i="1"/>
  <c r="W61" i="1"/>
  <c r="U61" i="1"/>
  <c r="T61" i="1"/>
  <c r="S61" i="1"/>
  <c r="R61" i="1"/>
  <c r="Q61" i="1"/>
  <c r="P61" i="1"/>
  <c r="O61" i="1"/>
  <c r="N61" i="1"/>
  <c r="M61" i="1"/>
  <c r="L61" i="1"/>
  <c r="K61" i="1"/>
  <c r="J61" i="1"/>
  <c r="E61" i="1"/>
  <c r="AG60" i="1"/>
  <c r="AF60" i="1"/>
  <c r="AF58" i="1" s="1"/>
  <c r="AE60" i="1"/>
  <c r="AD60" i="1"/>
  <c r="AC60" i="1"/>
  <c r="AB60" i="1"/>
  <c r="AB58" i="1" s="1"/>
  <c r="AA60" i="1"/>
  <c r="Z60" i="1"/>
  <c r="Y60" i="1"/>
  <c r="X60" i="1"/>
  <c r="X58" i="1" s="1"/>
  <c r="W60" i="1"/>
  <c r="U60" i="1"/>
  <c r="T60" i="1"/>
  <c r="T58" i="1" s="1"/>
  <c r="S60" i="1"/>
  <c r="R60" i="1"/>
  <c r="Q60" i="1"/>
  <c r="P60" i="1"/>
  <c r="P58" i="1" s="1"/>
  <c r="O60" i="1"/>
  <c r="N60" i="1"/>
  <c r="M60" i="1"/>
  <c r="L60" i="1"/>
  <c r="K60" i="1"/>
  <c r="J60" i="1"/>
  <c r="E60" i="1" s="1"/>
  <c r="G60" i="1"/>
  <c r="G59" i="1"/>
  <c r="F59" i="1"/>
  <c r="E59" i="1"/>
  <c r="I59" i="1" s="1"/>
  <c r="D59" i="1"/>
  <c r="H59" i="1" s="1"/>
  <c r="AG58" i="1"/>
  <c r="AE58" i="1"/>
  <c r="AD58" i="1"/>
  <c r="AC58" i="1"/>
  <c r="AA58" i="1"/>
  <c r="Z58" i="1"/>
  <c r="Y58" i="1"/>
  <c r="W58" i="1"/>
  <c r="U58" i="1"/>
  <c r="S58" i="1"/>
  <c r="R58" i="1"/>
  <c r="Q58" i="1"/>
  <c r="O58" i="1"/>
  <c r="N58" i="1"/>
  <c r="M58" i="1"/>
  <c r="K58" i="1"/>
  <c r="J58" i="1"/>
  <c r="G57" i="1"/>
  <c r="F57" i="1"/>
  <c r="E57" i="1"/>
  <c r="I57" i="1" s="1"/>
  <c r="D57" i="1"/>
  <c r="H57" i="1" s="1"/>
  <c r="G56" i="1"/>
  <c r="E56" i="1"/>
  <c r="D56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E55" i="1"/>
  <c r="D55" i="1"/>
  <c r="AF54" i="1"/>
  <c r="G54" i="1"/>
  <c r="E54" i="1"/>
  <c r="D54" i="1"/>
  <c r="D53" i="1" s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E53" i="1"/>
  <c r="G52" i="1"/>
  <c r="E52" i="1"/>
  <c r="D52" i="1"/>
  <c r="G51" i="1"/>
  <c r="H51" i="1" s="1"/>
  <c r="F51" i="1"/>
  <c r="E51" i="1"/>
  <c r="E50" i="1" s="1"/>
  <c r="D51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G50" i="1"/>
  <c r="I50" i="1" s="1"/>
  <c r="D50" i="1"/>
  <c r="G49" i="1"/>
  <c r="H49" i="1" s="1"/>
  <c r="F49" i="1"/>
  <c r="E49" i="1"/>
  <c r="E48" i="1" s="1"/>
  <c r="D49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G48" i="1"/>
  <c r="D48" i="1"/>
  <c r="G47" i="1"/>
  <c r="H47" i="1" s="1"/>
  <c r="F47" i="1"/>
  <c r="E47" i="1"/>
  <c r="E46" i="1" s="1"/>
  <c r="D47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G46" i="1"/>
  <c r="D46" i="1"/>
  <c r="AF45" i="1"/>
  <c r="G45" i="1"/>
  <c r="F45" i="1"/>
  <c r="E45" i="1"/>
  <c r="G44" i="1"/>
  <c r="F44" i="1"/>
  <c r="E44" i="1"/>
  <c r="I44" i="1" s="1"/>
  <c r="D44" i="1"/>
  <c r="H44" i="1" s="1"/>
  <c r="AF43" i="1"/>
  <c r="R43" i="1"/>
  <c r="P43" i="1"/>
  <c r="L43" i="1"/>
  <c r="G43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AG41" i="1"/>
  <c r="AE41" i="1"/>
  <c r="AE38" i="1" s="1"/>
  <c r="AD41" i="1"/>
  <c r="AD38" i="1" s="1"/>
  <c r="AC41" i="1"/>
  <c r="AB41" i="1"/>
  <c r="AA41" i="1"/>
  <c r="AA38" i="1" s="1"/>
  <c r="Z41" i="1"/>
  <c r="Z38" i="1" s="1"/>
  <c r="Y41" i="1"/>
  <c r="X41" i="1"/>
  <c r="W41" i="1"/>
  <c r="W38" i="1" s="1"/>
  <c r="V41" i="1"/>
  <c r="V38" i="1" s="1"/>
  <c r="U41" i="1"/>
  <c r="T41" i="1"/>
  <c r="S41" i="1"/>
  <c r="S38" i="1" s="1"/>
  <c r="R41" i="1"/>
  <c r="R38" i="1" s="1"/>
  <c r="Q41" i="1"/>
  <c r="P41" i="1"/>
  <c r="O41" i="1"/>
  <c r="O38" i="1" s="1"/>
  <c r="N41" i="1"/>
  <c r="N38" i="1" s="1"/>
  <c r="M41" i="1"/>
  <c r="L41" i="1"/>
  <c r="K41" i="1"/>
  <c r="K38" i="1" s="1"/>
  <c r="J41" i="1"/>
  <c r="AG40" i="1"/>
  <c r="AG38" i="1" s="1"/>
  <c r="AF40" i="1"/>
  <c r="AF36" i="1" s="1"/>
  <c r="AF11" i="1" s="1"/>
  <c r="AE40" i="1"/>
  <c r="AD40" i="1"/>
  <c r="AC40" i="1"/>
  <c r="AC36" i="1" s="1"/>
  <c r="AC33" i="1" s="1"/>
  <c r="AB40" i="1"/>
  <c r="AB36" i="1" s="1"/>
  <c r="AA40" i="1"/>
  <c r="Z40" i="1"/>
  <c r="Y40" i="1"/>
  <c r="Y38" i="1" s="1"/>
  <c r="X40" i="1"/>
  <c r="X38" i="1" s="1"/>
  <c r="W40" i="1"/>
  <c r="V40" i="1"/>
  <c r="U40" i="1"/>
  <c r="U36" i="1" s="1"/>
  <c r="U33" i="1" s="1"/>
  <c r="T40" i="1"/>
  <c r="T36" i="1" s="1"/>
  <c r="S40" i="1"/>
  <c r="R40" i="1"/>
  <c r="Q40" i="1"/>
  <c r="Q38" i="1" s="1"/>
  <c r="P40" i="1"/>
  <c r="P36" i="1" s="1"/>
  <c r="O40" i="1"/>
  <c r="N40" i="1"/>
  <c r="M40" i="1"/>
  <c r="G40" i="1" s="1"/>
  <c r="F40" i="1" s="1"/>
  <c r="L40" i="1"/>
  <c r="D40" i="1" s="1"/>
  <c r="H40" i="1" s="1"/>
  <c r="K40" i="1"/>
  <c r="J40" i="1"/>
  <c r="E40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G39" i="1"/>
  <c r="F39" i="1"/>
  <c r="AC38" i="1"/>
  <c r="AB38" i="1"/>
  <c r="U38" i="1"/>
  <c r="T38" i="1"/>
  <c r="M38" i="1"/>
  <c r="L38" i="1"/>
  <c r="AG37" i="1"/>
  <c r="AC37" i="1"/>
  <c r="AB37" i="1"/>
  <c r="Y37" i="1"/>
  <c r="X37" i="1"/>
  <c r="U37" i="1"/>
  <c r="T37" i="1"/>
  <c r="Q37" i="1"/>
  <c r="P37" i="1"/>
  <c r="M37" i="1"/>
  <c r="L37" i="1"/>
  <c r="AE36" i="1"/>
  <c r="AD36" i="1"/>
  <c r="AA36" i="1"/>
  <c r="Z36" i="1"/>
  <c r="W36" i="1"/>
  <c r="S36" i="1"/>
  <c r="R36" i="1"/>
  <c r="O36" i="1"/>
  <c r="N36" i="1"/>
  <c r="K36" i="1"/>
  <c r="J36" i="1"/>
  <c r="E36" i="1"/>
  <c r="AG35" i="1"/>
  <c r="AF35" i="1"/>
  <c r="AF10" i="1" s="1"/>
  <c r="AE35" i="1"/>
  <c r="AD35" i="1"/>
  <c r="AC35" i="1"/>
  <c r="AB35" i="1"/>
  <c r="AB10" i="1" s="1"/>
  <c r="AA35" i="1"/>
  <c r="Z35" i="1"/>
  <c r="Y35" i="1"/>
  <c r="X35" i="1"/>
  <c r="X10" i="1" s="1"/>
  <c r="W35" i="1"/>
  <c r="V35" i="1"/>
  <c r="U35" i="1"/>
  <c r="T35" i="1"/>
  <c r="T10" i="1" s="1"/>
  <c r="S35" i="1"/>
  <c r="R35" i="1"/>
  <c r="Q35" i="1"/>
  <c r="P35" i="1"/>
  <c r="P10" i="1" s="1"/>
  <c r="O35" i="1"/>
  <c r="N35" i="1"/>
  <c r="M35" i="1"/>
  <c r="L35" i="1"/>
  <c r="D35" i="1" s="1"/>
  <c r="K35" i="1"/>
  <c r="J35" i="1"/>
  <c r="E35" i="1" s="1"/>
  <c r="G35" i="1"/>
  <c r="I35" i="1" s="1"/>
  <c r="AG34" i="1"/>
  <c r="AF34" i="1"/>
  <c r="AF9" i="1" s="1"/>
  <c r="AE34" i="1"/>
  <c r="AD34" i="1"/>
  <c r="AC34" i="1"/>
  <c r="AB34" i="1"/>
  <c r="AB9" i="1" s="1"/>
  <c r="AA34" i="1"/>
  <c r="Z34" i="1"/>
  <c r="Y34" i="1"/>
  <c r="X34" i="1"/>
  <c r="X9" i="1" s="1"/>
  <c r="W34" i="1"/>
  <c r="V34" i="1"/>
  <c r="U34" i="1"/>
  <c r="T34" i="1"/>
  <c r="T9" i="1" s="1"/>
  <c r="S34" i="1"/>
  <c r="R34" i="1"/>
  <c r="Q34" i="1"/>
  <c r="P34" i="1"/>
  <c r="P9" i="1" s="1"/>
  <c r="O34" i="1"/>
  <c r="N34" i="1"/>
  <c r="M34" i="1"/>
  <c r="G34" i="1" s="1"/>
  <c r="F34" i="1" s="1"/>
  <c r="L34" i="1"/>
  <c r="L9" i="1" s="1"/>
  <c r="K34" i="1"/>
  <c r="J34" i="1"/>
  <c r="E34" i="1"/>
  <c r="G32" i="1"/>
  <c r="F32" i="1"/>
  <c r="E32" i="1"/>
  <c r="I32" i="1" s="1"/>
  <c r="D32" i="1"/>
  <c r="H32" i="1" s="1"/>
  <c r="G31" i="1"/>
  <c r="E31" i="1"/>
  <c r="D31" i="1"/>
  <c r="D30" i="1" s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G29" i="1"/>
  <c r="E29" i="1"/>
  <c r="D29" i="1"/>
  <c r="G28" i="1"/>
  <c r="F28" i="1"/>
  <c r="E28" i="1"/>
  <c r="E27" i="1" s="1"/>
  <c r="D28" i="1"/>
  <c r="H28" i="1" s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G27" i="1"/>
  <c r="D27" i="1"/>
  <c r="G26" i="1"/>
  <c r="F26" i="1"/>
  <c r="E26" i="1"/>
  <c r="D26" i="1"/>
  <c r="H26" i="1" s="1"/>
  <c r="G25" i="1"/>
  <c r="E25" i="1"/>
  <c r="D25" i="1"/>
  <c r="G24" i="1"/>
  <c r="F24" i="1"/>
  <c r="E24" i="1"/>
  <c r="I24" i="1" s="1"/>
  <c r="D24" i="1"/>
  <c r="H24" i="1" s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G23" i="1"/>
  <c r="D23" i="1"/>
  <c r="AG22" i="1"/>
  <c r="AF22" i="1"/>
  <c r="AE22" i="1"/>
  <c r="AD22" i="1"/>
  <c r="AD19" i="1" s="1"/>
  <c r="AC22" i="1"/>
  <c r="AB22" i="1"/>
  <c r="AA22" i="1"/>
  <c r="Z22" i="1"/>
  <c r="Z19" i="1" s="1"/>
  <c r="Y22" i="1"/>
  <c r="X22" i="1"/>
  <c r="W22" i="1"/>
  <c r="V22" i="1"/>
  <c r="V19" i="1" s="1"/>
  <c r="U22" i="1"/>
  <c r="T22" i="1"/>
  <c r="S22" i="1"/>
  <c r="R22" i="1"/>
  <c r="R19" i="1" s="1"/>
  <c r="Q22" i="1"/>
  <c r="P22" i="1"/>
  <c r="O22" i="1"/>
  <c r="N22" i="1"/>
  <c r="N19" i="1" s="1"/>
  <c r="M22" i="1"/>
  <c r="L22" i="1"/>
  <c r="K22" i="1"/>
  <c r="J22" i="1"/>
  <c r="D22" i="1" s="1"/>
  <c r="E22" i="1"/>
  <c r="AG21" i="1"/>
  <c r="AF21" i="1"/>
  <c r="AE21" i="1"/>
  <c r="AE10" i="1" s="1"/>
  <c r="AD21" i="1"/>
  <c r="AC21" i="1"/>
  <c r="AB21" i="1"/>
  <c r="AA21" i="1"/>
  <c r="AA19" i="1" s="1"/>
  <c r="Z21" i="1"/>
  <c r="Y21" i="1"/>
  <c r="X21" i="1"/>
  <c r="W21" i="1"/>
  <c r="W19" i="1" s="1"/>
  <c r="V21" i="1"/>
  <c r="U21" i="1"/>
  <c r="T21" i="1"/>
  <c r="S21" i="1"/>
  <c r="S19" i="1" s="1"/>
  <c r="R21" i="1"/>
  <c r="Q21" i="1"/>
  <c r="P21" i="1"/>
  <c r="O21" i="1"/>
  <c r="O10" i="1" s="1"/>
  <c r="N21" i="1"/>
  <c r="M21" i="1"/>
  <c r="L21" i="1"/>
  <c r="K21" i="1"/>
  <c r="K19" i="1" s="1"/>
  <c r="J21" i="1"/>
  <c r="E21" i="1" s="1"/>
  <c r="D21" i="1"/>
  <c r="AG20" i="1"/>
  <c r="AF20" i="1"/>
  <c r="AE20" i="1"/>
  <c r="AD20" i="1"/>
  <c r="AC20" i="1"/>
  <c r="AC9" i="1" s="1"/>
  <c r="AB20" i="1"/>
  <c r="AA20" i="1"/>
  <c r="Z20" i="1"/>
  <c r="Y20" i="1"/>
  <c r="Y9" i="1" s="1"/>
  <c r="X20" i="1"/>
  <c r="W20" i="1"/>
  <c r="V20" i="1"/>
  <c r="U20" i="1"/>
  <c r="T20" i="1"/>
  <c r="S20" i="1"/>
  <c r="R20" i="1"/>
  <c r="Q20" i="1"/>
  <c r="P20" i="1"/>
  <c r="O20" i="1"/>
  <c r="N20" i="1"/>
  <c r="M20" i="1"/>
  <c r="G20" i="1" s="1"/>
  <c r="L20" i="1"/>
  <c r="K20" i="1"/>
  <c r="J20" i="1"/>
  <c r="D20" i="1" s="1"/>
  <c r="I20" i="1"/>
  <c r="E20" i="1"/>
  <c r="AF19" i="1"/>
  <c r="AB19" i="1"/>
  <c r="X19" i="1"/>
  <c r="T19" i="1"/>
  <c r="P19" i="1"/>
  <c r="L19" i="1"/>
  <c r="I18" i="1"/>
  <c r="G18" i="1"/>
  <c r="F18" i="1"/>
  <c r="E18" i="1"/>
  <c r="D18" i="1"/>
  <c r="H18" i="1" s="1"/>
  <c r="G17" i="1"/>
  <c r="E17" i="1"/>
  <c r="D17" i="1"/>
  <c r="I16" i="1"/>
  <c r="G16" i="1"/>
  <c r="F16" i="1"/>
  <c r="E16" i="1"/>
  <c r="D16" i="1"/>
  <c r="H16" i="1" s="1"/>
  <c r="G15" i="1"/>
  <c r="E15" i="1"/>
  <c r="D15" i="1"/>
  <c r="D14" i="1" s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E14" i="1"/>
  <c r="AG12" i="1"/>
  <c r="AC12" i="1"/>
  <c r="AB12" i="1"/>
  <c r="Y12" i="1"/>
  <c r="X12" i="1"/>
  <c r="U12" i="1"/>
  <c r="T12" i="1"/>
  <c r="Q12" i="1"/>
  <c r="P12" i="1"/>
  <c r="M12" i="1"/>
  <c r="L12" i="1"/>
  <c r="AE11" i="1"/>
  <c r="AD11" i="1"/>
  <c r="AA11" i="1"/>
  <c r="Z11" i="1"/>
  <c r="W11" i="1"/>
  <c r="S11" i="1"/>
  <c r="R11" i="1"/>
  <c r="O11" i="1"/>
  <c r="N11" i="1"/>
  <c r="J11" i="1"/>
  <c r="AG10" i="1"/>
  <c r="AD10" i="1"/>
  <c r="AC10" i="1"/>
  <c r="AA10" i="1"/>
  <c r="Z10" i="1"/>
  <c r="Y10" i="1"/>
  <c r="W10" i="1"/>
  <c r="V10" i="1"/>
  <c r="U10" i="1"/>
  <c r="R10" i="1"/>
  <c r="Q10" i="1"/>
  <c r="N10" i="1"/>
  <c r="M10" i="1"/>
  <c r="K10" i="1"/>
  <c r="J10" i="1"/>
  <c r="AG9" i="1"/>
  <c r="AE9" i="1"/>
  <c r="AD9" i="1"/>
  <c r="AA9" i="1"/>
  <c r="Z9" i="1"/>
  <c r="W9" i="1"/>
  <c r="V9" i="1"/>
  <c r="U9" i="1"/>
  <c r="S9" i="1"/>
  <c r="R9" i="1"/>
  <c r="Q9" i="1"/>
  <c r="O9" i="1"/>
  <c r="N9" i="1"/>
  <c r="K9" i="1"/>
  <c r="J9" i="1"/>
  <c r="D9" i="1" s="1"/>
  <c r="U8" i="1" l="1"/>
  <c r="F15" i="1"/>
  <c r="I15" i="1"/>
  <c r="G14" i="1"/>
  <c r="I14" i="1" s="1"/>
  <c r="H15" i="1"/>
  <c r="H14" i="1" s="1"/>
  <c r="F17" i="1"/>
  <c r="I17" i="1"/>
  <c r="H17" i="1"/>
  <c r="H20" i="1"/>
  <c r="F20" i="1"/>
  <c r="G22" i="1"/>
  <c r="M19" i="1"/>
  <c r="Q19" i="1"/>
  <c r="U19" i="1"/>
  <c r="Y19" i="1"/>
  <c r="AC19" i="1"/>
  <c r="AG19" i="1"/>
  <c r="E23" i="1"/>
  <c r="T8" i="1"/>
  <c r="E9" i="1"/>
  <c r="M9" i="1"/>
  <c r="S10" i="1"/>
  <c r="U11" i="1"/>
  <c r="O19" i="1"/>
  <c r="AE19" i="1"/>
  <c r="D19" i="1"/>
  <c r="I27" i="1"/>
  <c r="H27" i="1"/>
  <c r="F29" i="1"/>
  <c r="F27" i="1" s="1"/>
  <c r="I29" i="1"/>
  <c r="H29" i="1"/>
  <c r="P11" i="1"/>
  <c r="P8" i="1" s="1"/>
  <c r="P33" i="1"/>
  <c r="T11" i="1"/>
  <c r="T33" i="1"/>
  <c r="AB11" i="1"/>
  <c r="AB8" i="1" s="1"/>
  <c r="AB33" i="1"/>
  <c r="AC11" i="1"/>
  <c r="AC8" i="1" s="1"/>
  <c r="G21" i="1"/>
  <c r="I23" i="1"/>
  <c r="H23" i="1"/>
  <c r="F25" i="1"/>
  <c r="F23" i="1" s="1"/>
  <c r="I25" i="1"/>
  <c r="H25" i="1"/>
  <c r="I28" i="1"/>
  <c r="E30" i="1"/>
  <c r="F31" i="1"/>
  <c r="F30" i="1" s="1"/>
  <c r="I31" i="1"/>
  <c r="G30" i="1"/>
  <c r="H31" i="1"/>
  <c r="F80" i="1"/>
  <c r="F79" i="1" s="1"/>
  <c r="G79" i="1"/>
  <c r="H80" i="1"/>
  <c r="E19" i="1"/>
  <c r="I26" i="1"/>
  <c r="E41" i="1"/>
  <c r="E38" i="1" s="1"/>
  <c r="J38" i="1"/>
  <c r="F42" i="1"/>
  <c r="F46" i="1"/>
  <c r="I46" i="1"/>
  <c r="F48" i="1"/>
  <c r="I48" i="1"/>
  <c r="F54" i="1"/>
  <c r="I54" i="1"/>
  <c r="G53" i="1"/>
  <c r="I56" i="1"/>
  <c r="G55" i="1"/>
  <c r="F56" i="1"/>
  <c r="F55" i="1"/>
  <c r="I60" i="1"/>
  <c r="F60" i="1"/>
  <c r="F58" i="1" s="1"/>
  <c r="G58" i="1"/>
  <c r="L58" i="1"/>
  <c r="I62" i="1"/>
  <c r="G61" i="1"/>
  <c r="I66" i="1"/>
  <c r="H66" i="1"/>
  <c r="I96" i="1"/>
  <c r="H96" i="1"/>
  <c r="L10" i="1"/>
  <c r="D10" i="1" s="1"/>
  <c r="D34" i="1"/>
  <c r="H34" i="1" s="1"/>
  <c r="I34" i="1"/>
  <c r="H35" i="1"/>
  <c r="L36" i="1"/>
  <c r="X36" i="1"/>
  <c r="N37" i="1"/>
  <c r="V37" i="1"/>
  <c r="AD37" i="1"/>
  <c r="I40" i="1"/>
  <c r="E43" i="1"/>
  <c r="E42" i="1" s="1"/>
  <c r="D43" i="1"/>
  <c r="H43" i="1" s="1"/>
  <c r="F52" i="1"/>
  <c r="F50" i="1" s="1"/>
  <c r="I52" i="1"/>
  <c r="H54" i="1"/>
  <c r="D84" i="1"/>
  <c r="D83" i="1" s="1"/>
  <c r="H83" i="1" s="1"/>
  <c r="AB83" i="1"/>
  <c r="I92" i="1"/>
  <c r="I93" i="1"/>
  <c r="F93" i="1"/>
  <c r="F92" i="1" s="1"/>
  <c r="H93" i="1"/>
  <c r="K11" i="1"/>
  <c r="M36" i="1"/>
  <c r="Q36" i="1"/>
  <c r="Q33" i="1" s="1"/>
  <c r="Y36" i="1"/>
  <c r="AG36" i="1"/>
  <c r="AG33" i="1" s="1"/>
  <c r="K37" i="1"/>
  <c r="O37" i="1"/>
  <c r="S37" i="1"/>
  <c r="W37" i="1"/>
  <c r="AA37" i="1"/>
  <c r="AE37" i="1"/>
  <c r="P38" i="1"/>
  <c r="E39" i="1"/>
  <c r="I39" i="1" s="1"/>
  <c r="D39" i="1"/>
  <c r="H39" i="1" s="1"/>
  <c r="D45" i="1"/>
  <c r="D42" i="1" s="1"/>
  <c r="AF41" i="1"/>
  <c r="I47" i="1"/>
  <c r="I49" i="1"/>
  <c r="I51" i="1"/>
  <c r="H52" i="1"/>
  <c r="D62" i="1"/>
  <c r="D61" i="1" s="1"/>
  <c r="V61" i="1"/>
  <c r="V60" i="1"/>
  <c r="H74" i="1"/>
  <c r="I76" i="1"/>
  <c r="F76" i="1"/>
  <c r="F74" i="1" s="1"/>
  <c r="L79" i="1"/>
  <c r="E80" i="1"/>
  <c r="E79" i="1" s="1"/>
  <c r="D80" i="1"/>
  <c r="D79" i="1" s="1"/>
  <c r="I82" i="1"/>
  <c r="I83" i="1"/>
  <c r="E94" i="1"/>
  <c r="D100" i="1"/>
  <c r="D99" i="1" s="1"/>
  <c r="J99" i="1"/>
  <c r="I103" i="1"/>
  <c r="J37" i="1"/>
  <c r="R37" i="1"/>
  <c r="Z37" i="1"/>
  <c r="I45" i="1"/>
  <c r="G42" i="1"/>
  <c r="H45" i="1"/>
  <c r="H46" i="1"/>
  <c r="H48" i="1"/>
  <c r="H50" i="1"/>
  <c r="H56" i="1"/>
  <c r="F68" i="1"/>
  <c r="G65" i="1"/>
  <c r="I68" i="1"/>
  <c r="H68" i="1"/>
  <c r="F72" i="1"/>
  <c r="J19" i="1"/>
  <c r="F35" i="1"/>
  <c r="G41" i="1"/>
  <c r="F43" i="1"/>
  <c r="F62" i="1"/>
  <c r="F66" i="1"/>
  <c r="H71" i="1"/>
  <c r="E73" i="1"/>
  <c r="D73" i="1"/>
  <c r="D70" i="1" s="1"/>
  <c r="H76" i="1"/>
  <c r="M92" i="1"/>
  <c r="G100" i="1"/>
  <c r="K99" i="1"/>
  <c r="H102" i="1"/>
  <c r="F102" i="1"/>
  <c r="F101" i="1" s="1"/>
  <c r="G101" i="1"/>
  <c r="H103" i="1"/>
  <c r="E58" i="1"/>
  <c r="I64" i="1"/>
  <c r="E72" i="1"/>
  <c r="E70" i="1" s="1"/>
  <c r="G73" i="1"/>
  <c r="G70" i="1" s="1"/>
  <c r="M70" i="1"/>
  <c r="Q70" i="1"/>
  <c r="U70" i="1"/>
  <c r="Y70" i="1"/>
  <c r="AC70" i="1"/>
  <c r="AG70" i="1"/>
  <c r="E74" i="1"/>
  <c r="I74" i="1" s="1"/>
  <c r="I78" i="1"/>
  <c r="H84" i="1"/>
  <c r="I86" i="1"/>
  <c r="H87" i="1"/>
  <c r="I63" i="1"/>
  <c r="H67" i="1"/>
  <c r="J70" i="1"/>
  <c r="H82" i="1"/>
  <c r="I84" i="1"/>
  <c r="I85" i="1"/>
  <c r="I87" i="1"/>
  <c r="H88" i="1"/>
  <c r="H89" i="1"/>
  <c r="G94" i="1"/>
  <c r="H95" i="1"/>
  <c r="I104" i="1"/>
  <c r="I70" i="1" l="1"/>
  <c r="H70" i="1"/>
  <c r="H42" i="1"/>
  <c r="AF37" i="1"/>
  <c r="AF38" i="1"/>
  <c r="S33" i="1"/>
  <c r="S12" i="1"/>
  <c r="S8" i="1" s="1"/>
  <c r="L11" i="1"/>
  <c r="L33" i="1"/>
  <c r="D41" i="1"/>
  <c r="D38" i="1" s="1"/>
  <c r="H101" i="1"/>
  <c r="I101" i="1"/>
  <c r="E37" i="1"/>
  <c r="E33" i="1" s="1"/>
  <c r="D37" i="1"/>
  <c r="J33" i="1"/>
  <c r="J12" i="1"/>
  <c r="V36" i="1"/>
  <c r="V11" i="1" s="1"/>
  <c r="V58" i="1"/>
  <c r="AE33" i="1"/>
  <c r="AE12" i="1"/>
  <c r="AE8" i="1" s="1"/>
  <c r="O33" i="1"/>
  <c r="O12" i="1"/>
  <c r="O8" i="1" s="1"/>
  <c r="V12" i="1"/>
  <c r="H62" i="1"/>
  <c r="D60" i="1"/>
  <c r="H53" i="1"/>
  <c r="I53" i="1"/>
  <c r="F53" i="1"/>
  <c r="H79" i="1"/>
  <c r="I79" i="1"/>
  <c r="H30" i="1"/>
  <c r="I30" i="1"/>
  <c r="Q11" i="1"/>
  <c r="Q8" i="1" s="1"/>
  <c r="I73" i="1"/>
  <c r="F73" i="1"/>
  <c r="H73" i="1"/>
  <c r="Y33" i="1"/>
  <c r="Y11" i="1"/>
  <c r="Y8" i="1" s="1"/>
  <c r="I41" i="1"/>
  <c r="G38" i="1"/>
  <c r="H41" i="1"/>
  <c r="F41" i="1"/>
  <c r="F38" i="1" s="1"/>
  <c r="F70" i="1"/>
  <c r="H65" i="1"/>
  <c r="I65" i="1"/>
  <c r="AA33" i="1"/>
  <c r="AA12" i="1"/>
  <c r="AA8" i="1" s="1"/>
  <c r="G37" i="1"/>
  <c r="K33" i="1"/>
  <c r="K12" i="1"/>
  <c r="G36" i="1"/>
  <c r="M33" i="1"/>
  <c r="M11" i="1"/>
  <c r="N33" i="1"/>
  <c r="N12" i="1"/>
  <c r="N8" i="1" s="1"/>
  <c r="I61" i="1"/>
  <c r="H61" i="1"/>
  <c r="F61" i="1"/>
  <c r="I58" i="1"/>
  <c r="I43" i="1"/>
  <c r="I42" i="1" s="1"/>
  <c r="I80" i="1"/>
  <c r="AG11" i="1"/>
  <c r="AG8" i="1" s="1"/>
  <c r="G9" i="1"/>
  <c r="M8" i="1"/>
  <c r="L8" i="1"/>
  <c r="H22" i="1"/>
  <c r="F22" i="1"/>
  <c r="F19" i="1" s="1"/>
  <c r="G19" i="1"/>
  <c r="I22" i="1"/>
  <c r="G10" i="1"/>
  <c r="R33" i="1"/>
  <c r="R12" i="1"/>
  <c r="R8" i="1" s="1"/>
  <c r="AD12" i="1"/>
  <c r="AD8" i="1" s="1"/>
  <c r="AD33" i="1"/>
  <c r="D36" i="1"/>
  <c r="H100" i="1"/>
  <c r="I100" i="1"/>
  <c r="G99" i="1"/>
  <c r="F100" i="1"/>
  <c r="F99" i="1" s="1"/>
  <c r="H94" i="1"/>
  <c r="I94" i="1"/>
  <c r="I72" i="1"/>
  <c r="F65" i="1"/>
  <c r="Z33" i="1"/>
  <c r="Z12" i="1"/>
  <c r="Z8" i="1" s="1"/>
  <c r="W33" i="1"/>
  <c r="W12" i="1"/>
  <c r="W8" i="1" s="1"/>
  <c r="X11" i="1"/>
  <c r="X8" i="1" s="1"/>
  <c r="X33" i="1"/>
  <c r="H55" i="1"/>
  <c r="I55" i="1"/>
  <c r="F21" i="1"/>
  <c r="H21" i="1"/>
  <c r="I21" i="1"/>
  <c r="E10" i="1"/>
  <c r="F14" i="1"/>
  <c r="H9" i="1" l="1"/>
  <c r="F9" i="1"/>
  <c r="I9" i="1"/>
  <c r="D58" i="1"/>
  <c r="H58" i="1" s="1"/>
  <c r="H60" i="1"/>
  <c r="I38" i="1"/>
  <c r="H38" i="1"/>
  <c r="F10" i="1"/>
  <c r="H10" i="1"/>
  <c r="I10" i="1"/>
  <c r="H36" i="1"/>
  <c r="I36" i="1"/>
  <c r="F36" i="1"/>
  <c r="G12" i="1"/>
  <c r="K8" i="1"/>
  <c r="V8" i="1"/>
  <c r="E12" i="1"/>
  <c r="E8" i="1" s="1"/>
  <c r="J8" i="1"/>
  <c r="I37" i="1"/>
  <c r="H37" i="1"/>
  <c r="F37" i="1"/>
  <c r="F33" i="1" s="1"/>
  <c r="G33" i="1"/>
  <c r="D33" i="1"/>
  <c r="H99" i="1"/>
  <c r="I99" i="1"/>
  <c r="G11" i="1"/>
  <c r="I19" i="1"/>
  <c r="H19" i="1"/>
  <c r="V33" i="1"/>
  <c r="E11" i="1"/>
  <c r="D11" i="1"/>
  <c r="AF12" i="1"/>
  <c r="AF8" i="1" s="1"/>
  <c r="AF33" i="1"/>
  <c r="F12" i="1" l="1"/>
  <c r="F8" i="1" s="1"/>
  <c r="I12" i="1"/>
  <c r="H12" i="1"/>
  <c r="D12" i="1"/>
  <c r="D8" i="1" s="1"/>
  <c r="H11" i="1"/>
  <c r="F11" i="1"/>
  <c r="I11" i="1"/>
  <c r="H33" i="1"/>
  <c r="I33" i="1"/>
  <c r="G8" i="1"/>
  <c r="I8" i="1" l="1"/>
  <c r="H8" i="1"/>
</calcChain>
</file>

<file path=xl/sharedStrings.xml><?xml version="1.0" encoding="utf-8"?>
<sst xmlns="http://schemas.openxmlformats.org/spreadsheetml/2006/main" count="189" uniqueCount="80">
  <si>
    <t xml:space="preserve">Отчет о ходе реализации муниципальной программы </t>
  </si>
  <si>
    <t xml:space="preserve"> "Развитие образования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</si>
  <si>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</si>
  <si>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</si>
  <si>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</si>
  <si>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</si>
  <si>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</si>
  <si>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</si>
  <si>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</si>
  <si>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</si>
  <si>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</si>
  <si>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</si>
  <si>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</si>
  <si>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</si>
  <si>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</si>
  <si>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</si>
  <si>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</si>
  <si>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</si>
  <si>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</si>
  <si>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</si>
  <si>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</si>
  <si>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</si>
  <si>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</si>
  <si>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</si>
  <si>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</si>
  <si>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</si>
  <si>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</si>
  <si>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</si>
  <si>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</si>
  <si>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</si>
  <si>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</si>
  <si>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</si>
  <si>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</si>
  <si>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Направление (подпрограмма) «Общее образование»</t>
  </si>
  <si>
    <t>РП 1.1</t>
  </si>
  <si>
    <t>Региональный проект «Создание условий для обучения, отдыха и оздоровления детей и молодежи» / Создана средняя общеобразовательная школа в г. Когалыме (Общеобразовательная организация с
универсальной безбарьерной средой)» (корректировка, привязка проекта «Средняя общеобразовательная
школа в микрорайоне 32 г. Сургута» шифр 1541-ПИ.00.32</t>
  </si>
  <si>
    <t>1. На отчетную дату ведется исполнение муниципального контракта №0187200001721001483 от 14.10.2021 (эл/а) заключенного с Обществом с ограниченной ответственностью "СИБВИТОСЕРВИС" город Сургут на выполнение проектно-изыскательских и строительно-монтажных работ по объекту, из них:
1.1. Сроки выполнения работ:
- 1 этап ПИР – с даты заключения контракта по 31.08.2023 (на отчетную дату этап завершен); 
- 2 этап СМР – с 01.09.2023 по 10.12.2025, из них:
- охранно-спасательные археологические работы, строительно-монтажные работы, пусконаладочные работы и поставка и монтаж оборудования с 01.09.2022 по 01.12.2025;
- ввод объекта в эксплуатацию с 01.12.2025 по 10.12.2025.
1.2. Цена контракта 3 114 407,6 тыс. руб. из них:
- 1 этап ПИР – 34 981,9 тыс. руб. (на отчетную дату этап завершен);
- 2 этап СМР – 3 079 425,7 тыс. руб.
1.3. Аванс по контракту составляет 749 783,2 тыс. руб., из них остаток аванса на 01.03.2025 - 557 354,1 тыс. руб.
1.4. На отчетную дату принято работ на сумму 799 301,4 тыс. руб. из них:
- 1 этап ПИР – 34 981,9 тыс. руб. – исполнен в полном объеме;
- 2 этап СМР – 764 319,5 тыс. руб. – готовность – 34%;
1.5. На отчетную дату кассовые расходы (в том числе аванс) составили 1 356 655,5 тыс. руб. из них:
- 1 этап ПИР – 34 981,9 тыс. руб.;
- 2 этап СМР – 1 321 673,6 тыс. руб.
2. Степень готовности объекта:
2.1 Проектно-изыскательские работы – готовность 100%, из них:
- положительное заключение государственной экспертизы результатов инженерных изысканий и проектной документации (без смет) от 23.12.2022 №86-1-1-3-091907-2022;
- положительное заключение государственной экспертизы о достоверности сметной стоимости строительства объекта от 22.11.2024 №86-1-1-2-069258-2024;
- выполнение проектно-изыскательских работ по 1 этапу контракта выполнено с нарушением сроков выполнения работ подрядной организацией, выставлено 12-ть претензий об уплате неустойки на общую сумму 11 731,48 тыс. руб.
2.2 Строительство объекта - готовность 34%:
СМР: Выполнены 100%: ж/б конструкции цокольного, 1, 2 этажей, наружный водопровод, наружное электроснабжение, тепловые сети, связь. 
Ведутся работы: бетонирование плиты перекрытия 3 этажа - 52%; бетонирование колонн и диафрагм жесткости 3 этажа – 90%; бетонирование конструкций 4 этажа - 12%; кирпичная кладка наружных стен 1 этажа – 98%; кирпичная кладка наружных стен 2 этажа – 43%; кирпичная кладка перегородок 1-2 этажей -42%; наружные сети канализации К1, К2 – 60%; благоустройство территории – 17%; монтаж металлоконструкций перекрытия - 32%, прокладка вентиляционных коробов 1 этажа -21%; монтаж оконных блоков 1 этажа - 39%.
3. Планируемая дата ввода объекта в эксплуатацию - 10.12.2025.
II) Муниципальный контракт №Кг-38.22 от 12.04.2022 на технологическое присоединение к электрическим сетям на сумму 8,13 тыс. руб, срок оказания услуг 1 год. Исполнение контракта возможно после завершения строительства объекта.</t>
  </si>
  <si>
    <t>внебюджетные источники финансирования</t>
  </si>
  <si>
    <t>РП 1.2</t>
  </si>
  <si>
    <t>Региональный проект «Педагоги и наставники»всего, в том числе:</t>
  </si>
  <si>
    <t xml:space="preserve">1.1 Проведены мероприятия по обеспечению деятельности советников директора по воспитанию и взаимодействию с детскими общественными объединениями в образовательных организациях: </t>
  </si>
  <si>
    <t xml:space="preserve">2.1. Обеспечены выплаты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</t>
  </si>
  <si>
    <t>2.2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 муниципальных общеобразовательных организаций и профессиональных образовательных организаций</t>
  </si>
  <si>
    <t xml:space="preserve"> 1.1</t>
  </si>
  <si>
    <t>Комплекс процессных мероприятий «Содействие развитию дошкольного и общего образования», в том числе:</t>
  </si>
  <si>
    <t xml:space="preserve">1.1 Внедрение обновленного содержания дошкольного, основного общего и среднего общего
образования, новых методов обучения, обеспечивающих повышение качества дошкольного,
основного общего и среднего общего образования всего, в том числе:
</t>
  </si>
  <si>
    <t xml:space="preserve">1.1./1.1.1 Осуществление деятельности автономных учреждений подведомственных управлению образования Администрации города Когалыма </t>
  </si>
  <si>
    <t xml:space="preserve">1.1./.1.1.2    Обеспечение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- Югры отдельных государственных полномочий в области образования </t>
  </si>
  <si>
    <t xml:space="preserve">1.1./.1.1.3    Предоставление компенсации части родительской платы, компенсации расходов в связи с освобождением от взимания родительской платы  за присмотр и уход за детьми в организациях, осуществляющих образовательную деятельность по реализации образовательной программы
дошкольного образования </t>
  </si>
  <si>
    <t xml:space="preserve">1.1./1.1.4 Создание условий для осуществления присмотра и ухода за детьми, содержания детей в частных организациях, осуществляющих образовательную деятельность по реализации образовательных программ дошкольного образования, расположенных на территориях муниципальных образований
Ханты-Мансийского автономного округа – Югры </t>
  </si>
  <si>
    <t xml:space="preserve">1.1./.1.1.5  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образования, расположенных на территории города Когалыма </t>
  </si>
  <si>
    <t>1.1./1.1.6 Оснащение объектов капитального строительства, реконструкции, объектов недвижимого имущества для размещения образовательных организаций средствами обучения и воспитания, необходимыми для реализации образовательных программ, соответствующими современным условиям обучения</t>
  </si>
  <si>
    <t>1.2. Поддержка педагогических работников, всего, в том числе:</t>
  </si>
  <si>
    <t>1.2./ 1.2.1.Стимулирование роста профессионального мастерства, создание условий для выявления и поддержки педагогических работников,  проявляющих творческую инициативу, в том числе для специалистов некоммерческих организаций</t>
  </si>
  <si>
    <t>1.2/ 1.2.4.Поддержка студентов педагогических вузов</t>
  </si>
  <si>
    <t xml:space="preserve">1.3. Обеспечение обучающихся, получающих образование в муниципальных образовательных организациях горячим питанием </t>
  </si>
  <si>
    <t>Направление (подпрограмма) «Организация дополнительного образования, воспитания, отдыха и оздоровления детей»</t>
  </si>
  <si>
    <t xml:space="preserve"> 2.1</t>
  </si>
  <si>
    <t>Комплекс процессных мероприятий «Содействие развитию летнего отдыха и оздоровления»  всего, в том числе</t>
  </si>
  <si>
    <t>2.1./2.1.1.     Обеспечение отдыха и оздоровления детей / Организация деятельности лагерей с дневным пребыванием детей, лагерей труда и отдыха на базах муниципальных учреждений и организаций. Организация отдыха и оздоровления детей в санаторно-оздоровительных учреждениях. Организация
отдыха и оздоровления детей в загородных стационарных детских оздоровительных лагерях. Организация пеших походов и экспедиций. Участие в практических обучающих семинарах по подготовке и повышению квалификации педагогических кадров</t>
  </si>
  <si>
    <t>привлеченный средства</t>
  </si>
  <si>
    <t xml:space="preserve"> 2.2.</t>
  </si>
  <si>
    <t>Комплекс процессных мероприятий «Содействие развитию дополнительного образования детей, воспитания», в том числе:</t>
  </si>
  <si>
    <t>3.1.1.   Развитие системы выявления, поддержки, сопровождения и стимулирования одаренных детей в различных сферах деятельности</t>
  </si>
  <si>
    <t xml:space="preserve">3.1.2.      Реализация мероприятий профориентационной направленности, в том числе в рамках сотрудничества с Пермским научно-исследовательским политехническим университетом </t>
  </si>
  <si>
    <t xml:space="preserve">3.1.3.     Развитие системы доступного дополнительного образования в соответствии с индивидуальными запросами населения </t>
  </si>
  <si>
    <t>3.1.4.     Персонифицированное финансирование дополнительного образования детей</t>
  </si>
  <si>
    <t>3.1.5.     Поддержка немуниципальных организаций (коммерческих,
некоммерческих), осуществляющих деятельность в сфере образования</t>
  </si>
  <si>
    <t>Структурные элементы, не входящие в направления (подпрограммы)</t>
  </si>
  <si>
    <t xml:space="preserve"> 3.1. </t>
  </si>
  <si>
    <t>Комплекс процессных мероприятий «Комплексная безопасность образовательных организаций, подведомственных Управлению образования» / Создание современных условий для организации безопасного
образовательного процесса всего, в том числе:</t>
  </si>
  <si>
    <t>4.1.1.   Обеспечение комплексной безопасности и комфортных условий
образовательной деятельности в учреждениях и организациях
общего и дополнительного образования</t>
  </si>
  <si>
    <t>4.1.2.    Капитальный ремонт МАДОУ "Цветик- семицветик" и МАДОУ
"Колокольчик" в городе Когалыме</t>
  </si>
  <si>
    <t>1. Муниципальный контракт № 0187300013724000264 от 20.11.2024 на выполнение работ по разработке проектной документации для выполнения капитального ремонта здания МАДОУ "Колокольчик" корпус 2 в городе Когалыме;
- цена контракта: 3002,55 тыс.руб.;
- срок выполнения работ: 01.07.2025.
2. Муниципальный контракт № 0187300013724000265 от 20.11.2024 на ыыполнение работ по разработке проектной документации для выполнения капитального ремонта здания МАДОУ "Цветик-семицветик" корпус 2 в городе Когалыме 
- цена контракта: 2 692,01 тыс.руб.;
- срок выполнения работ: 01.07.2025.</t>
  </si>
  <si>
    <t>Муниципальный контракт №0187300013724000024 от 26.03.2024 на выполнение работ по разработке проектно-сметной документации для выполнения капитального ремонта здания МАОУ СОШ №7 в городе Когалыме:
- цена контракта 2 345,11 тыс.рублей;
- срок выполнения работ - 15.11.2024 года;
- подрядчиком устраняются замечания по разработке проектно-сметной документации.</t>
  </si>
  <si>
    <t>Направление (подпрограмма) «Ресурсное обеспечение в сфере образования»</t>
  </si>
  <si>
    <t xml:space="preserve"> 4.1. </t>
  </si>
  <si>
    <t>«Обеспечение деятельности органов местного самоуправления города Когалыма» / Обеспечение  осуществления полномочий и функций Управления образования Администрации города Когалыма , в том числе:</t>
  </si>
  <si>
    <t xml:space="preserve">5.1.1.   Финансовое и организационно-методическое сопровождение по исполнению бюджетными, автономными образовательными организациями муниципального задания на оказание муниципальных услуг (выполнение работ) </t>
  </si>
  <si>
    <t>5.1.2.     Проведение мероприятий аппаратом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</si>
</sst>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4" fontId="5" fillId="0" borderId="0" xfId="1" applyNumberFormat="1" applyFont="1" applyAlignment="1" applyProtection="1">
      <alignment vertical="center" wrapText="1"/>
    </xf>
    <xf numFmtId="164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4" fontId="9" fillId="0" borderId="0" xfId="1" applyNumberFormat="1" applyFont="1" applyAlignment="1" applyProtection="1">
      <alignment vertical="center" wrapText="1"/>
    </xf>
    <xf numFmtId="164" fontId="9" fillId="0" borderId="1" xfId="1" applyNumberFormat="1" applyFont="1" applyBorder="1" applyAlignment="1" applyProtection="1">
      <alignment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0" fillId="0" borderId="9" xfId="1" applyFont="1" applyFill="1" applyBorder="1" applyAlignment="1" applyProtection="1">
      <alignment horizontal="left" vertical="center" wrapText="1"/>
    </xf>
    <xf numFmtId="166" fontId="9" fillId="0" borderId="9" xfId="1" applyNumberFormat="1" applyFont="1" applyFill="1" applyBorder="1" applyAlignment="1" applyProtection="1">
      <alignment horizontal="center" vertical="center"/>
    </xf>
    <xf numFmtId="166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vertical="center" wrapText="1"/>
    </xf>
    <xf numFmtId="0" fontId="12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8" fillId="0" borderId="9" xfId="1" applyFont="1" applyBorder="1" applyAlignment="1" applyProtection="1">
      <alignment vertical="center"/>
    </xf>
    <xf numFmtId="0" fontId="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10" fillId="0" borderId="9" xfId="1" applyFont="1" applyBorder="1" applyAlignment="1" applyProtection="1">
      <alignment horizontal="left" vertical="center" wrapText="1"/>
    </xf>
    <xf numFmtId="166" fontId="5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166" fontId="12" fillId="0" borderId="0" xfId="1" applyNumberFormat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5" fillId="0" borderId="9" xfId="1" applyNumberFormat="1" applyFont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166" fontId="9" fillId="0" borderId="9" xfId="1" applyNumberFormat="1" applyFont="1" applyBorder="1" applyAlignment="1" applyProtection="1">
      <alignment horizontal="center" vertical="center"/>
    </xf>
    <xf numFmtId="166" fontId="9" fillId="0" borderId="9" xfId="1" applyNumberFormat="1" applyFont="1" applyBorder="1" applyAlignment="1" applyProtection="1">
      <alignment horizontal="center" vertical="center"/>
      <protection locked="0"/>
    </xf>
    <xf numFmtId="166" fontId="13" fillId="0" borderId="0" xfId="1" applyNumberFormat="1" applyFont="1" applyFill="1" applyAlignment="1" applyProtection="1">
      <alignment vertical="center"/>
    </xf>
    <xf numFmtId="0" fontId="15" fillId="0" borderId="9" xfId="1" applyFont="1" applyBorder="1" applyAlignment="1" applyProtection="1">
      <alignment horizontal="left" vertical="center" wrapText="1"/>
    </xf>
    <xf numFmtId="166" fontId="16" fillId="0" borderId="9" xfId="1" applyNumberFormat="1" applyFont="1" applyFill="1" applyBorder="1" applyAlignment="1" applyProtection="1">
      <alignment horizontal="center" vertical="center"/>
    </xf>
    <xf numFmtId="166" fontId="16" fillId="0" borderId="9" xfId="1" applyNumberFormat="1" applyFont="1" applyBorder="1" applyAlignment="1" applyProtection="1">
      <alignment horizontal="center" vertical="center"/>
    </xf>
    <xf numFmtId="166" fontId="16" fillId="0" borderId="9" xfId="1" applyNumberFormat="1" applyFont="1" applyBorder="1" applyAlignment="1" applyProtection="1">
      <alignment horizontal="center" vertical="center"/>
      <protection locked="0"/>
    </xf>
    <xf numFmtId="0" fontId="14" fillId="0" borderId="9" xfId="1" applyFont="1" applyBorder="1" applyAlignment="1" applyProtection="1">
      <alignment vertical="center" wrapText="1"/>
    </xf>
    <xf numFmtId="0" fontId="5" fillId="0" borderId="5" xfId="1" applyFont="1" applyBorder="1" applyAlignment="1" applyProtection="1">
      <alignment horizontal="center" vertical="center"/>
    </xf>
    <xf numFmtId="0" fontId="16" fillId="0" borderId="9" xfId="1" applyFont="1" applyBorder="1" applyAlignment="1" applyProtection="1">
      <alignment vertical="center" wrapText="1"/>
    </xf>
    <xf numFmtId="166" fontId="19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9" fillId="0" borderId="5" xfId="1" applyFont="1" applyBorder="1" applyAlignment="1" applyProtection="1">
      <alignment horizontal="center" vertical="center"/>
    </xf>
    <xf numFmtId="0" fontId="14" fillId="0" borderId="5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vertical="center"/>
    </xf>
    <xf numFmtId="166" fontId="20" fillId="0" borderId="0" xfId="1" applyNumberFormat="1" applyFont="1" applyFill="1" applyAlignment="1" applyProtection="1">
      <alignment vertical="center"/>
    </xf>
    <xf numFmtId="0" fontId="21" fillId="0" borderId="0" xfId="1" applyFont="1" applyFill="1" applyAlignment="1" applyProtection="1">
      <alignment vertical="center"/>
    </xf>
    <xf numFmtId="0" fontId="20" fillId="0" borderId="0" xfId="1" applyFont="1" applyFill="1" applyAlignment="1" applyProtection="1">
      <alignment vertical="center"/>
    </xf>
    <xf numFmtId="0" fontId="9" fillId="0" borderId="5" xfId="1" applyFont="1" applyFill="1" applyBorder="1" applyAlignment="1" applyProtection="1">
      <alignment horizontal="center"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5" fillId="0" borderId="9" xfId="1" applyFont="1" applyBorder="1" applyAlignment="1" applyProtection="1">
      <alignment horizontal="right" vertical="center" wrapText="1"/>
    </xf>
    <xf numFmtId="0" fontId="5" fillId="0" borderId="2" xfId="1" applyFont="1" applyBorder="1" applyAlignment="1" applyProtection="1">
      <alignment horizontal="right" vertical="center" wrapText="1"/>
    </xf>
    <xf numFmtId="0" fontId="5" fillId="0" borderId="5" xfId="1" applyFont="1" applyBorder="1" applyAlignment="1" applyProtection="1">
      <alignment horizontal="right" vertical="center" wrapText="1"/>
    </xf>
    <xf numFmtId="0" fontId="5" fillId="0" borderId="8" xfId="1" applyFont="1" applyBorder="1" applyAlignment="1" applyProtection="1">
      <alignment horizontal="right" vertical="center" wrapText="1"/>
    </xf>
    <xf numFmtId="0" fontId="18" fillId="0" borderId="9" xfId="1" applyFont="1" applyFill="1" applyBorder="1" applyAlignment="1" applyProtection="1">
      <alignment horizontal="right" vertical="center" wrapText="1"/>
    </xf>
    <xf numFmtId="0" fontId="9" fillId="0" borderId="2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17" fillId="0" borderId="2" xfId="1" applyFont="1" applyFill="1" applyBorder="1" applyAlignment="1" applyProtection="1">
      <alignment horizontal="right" vertical="center" wrapText="1"/>
    </xf>
    <xf numFmtId="0" fontId="17" fillId="0" borderId="5" xfId="1" applyFont="1" applyFill="1" applyBorder="1" applyAlignment="1" applyProtection="1">
      <alignment horizontal="right" vertical="center" wrapText="1"/>
    </xf>
    <xf numFmtId="0" fontId="17" fillId="0" borderId="8" xfId="1" applyFont="1" applyFill="1" applyBorder="1" applyAlignment="1" applyProtection="1">
      <alignment horizontal="right" vertical="center" wrapText="1"/>
    </xf>
    <xf numFmtId="0" fontId="9" fillId="0" borderId="2" xfId="1" applyFont="1" applyBorder="1" applyAlignment="1" applyProtection="1">
      <alignment horizontal="left" vertical="center" wrapText="1"/>
    </xf>
    <xf numFmtId="0" fontId="9" fillId="0" borderId="5" xfId="1" applyFont="1" applyBorder="1" applyAlignment="1" applyProtection="1">
      <alignment horizontal="left" vertical="center" wrapText="1"/>
    </xf>
    <xf numFmtId="0" fontId="9" fillId="0" borderId="8" xfId="1" applyFont="1" applyBorder="1" applyAlignment="1" applyProtection="1">
      <alignment horizontal="left" vertical="center" wrapText="1"/>
    </xf>
    <xf numFmtId="0" fontId="18" fillId="0" borderId="9" xfId="1" applyFont="1" applyBorder="1" applyAlignment="1" applyProtection="1">
      <alignment horizontal="right" vertical="center" wrapText="1"/>
    </xf>
    <xf numFmtId="16" fontId="5" fillId="0" borderId="2" xfId="1" applyNumberFormat="1" applyFont="1" applyBorder="1" applyAlignment="1" applyProtection="1">
      <alignment horizontal="center" vertical="center"/>
    </xf>
    <xf numFmtId="16" fontId="5" fillId="0" borderId="5" xfId="1" applyNumberFormat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18" fillId="0" borderId="2" xfId="1" applyFont="1" applyBorder="1" applyAlignment="1" applyProtection="1">
      <alignment horizontal="right" vertical="center" wrapText="1"/>
    </xf>
    <xf numFmtId="0" fontId="18" fillId="0" borderId="5" xfId="1" applyFont="1" applyBorder="1" applyAlignment="1" applyProtection="1">
      <alignment horizontal="right" vertical="center" wrapText="1"/>
    </xf>
    <xf numFmtId="0" fontId="18" fillId="0" borderId="8" xfId="1" applyFont="1" applyBorder="1" applyAlignment="1" applyProtection="1">
      <alignment horizontal="right" vertical="center" wrapText="1"/>
    </xf>
    <xf numFmtId="0" fontId="17" fillId="0" borderId="9" xfId="1" applyFont="1" applyBorder="1" applyAlignment="1" applyProtection="1">
      <alignment horizontal="right" vertical="center" wrapText="1"/>
    </xf>
    <xf numFmtId="16" fontId="16" fillId="0" borderId="2" xfId="1" applyNumberFormat="1" applyFont="1" applyBorder="1" applyAlignment="1" applyProtection="1">
      <alignment horizontal="center" vertical="center"/>
    </xf>
    <xf numFmtId="16" fontId="16" fillId="0" borderId="5" xfId="1" applyNumberFormat="1" applyFont="1" applyBorder="1" applyAlignment="1" applyProtection="1">
      <alignment horizontal="center" vertical="center"/>
    </xf>
    <xf numFmtId="0" fontId="16" fillId="0" borderId="5" xfId="1" applyFont="1" applyBorder="1" applyAlignment="1" applyProtection="1">
      <alignment horizontal="center" vertical="center"/>
    </xf>
    <xf numFmtId="0" fontId="14" fillId="0" borderId="2" xfId="1" applyFont="1" applyBorder="1" applyAlignment="1" applyProtection="1">
      <alignment horizontal="center" vertical="center"/>
    </xf>
    <xf numFmtId="0" fontId="14" fillId="0" borderId="5" xfId="1" applyFont="1" applyBorder="1" applyAlignment="1" applyProtection="1">
      <alignment horizontal="center" vertical="center"/>
    </xf>
    <xf numFmtId="0" fontId="14" fillId="0" borderId="8" xfId="1" applyFont="1" applyBorder="1" applyAlignment="1" applyProtection="1">
      <alignment horizontal="center" vertical="center"/>
    </xf>
    <xf numFmtId="16" fontId="9" fillId="0" borderId="2" xfId="1" applyNumberFormat="1" applyFont="1" applyBorder="1" applyAlignment="1" applyProtection="1">
      <alignment horizontal="center" vertical="center"/>
    </xf>
    <xf numFmtId="16" fontId="9" fillId="0" borderId="5" xfId="1" applyNumberFormat="1" applyFont="1" applyBorder="1" applyAlignment="1" applyProtection="1">
      <alignment horizontal="center" vertical="center"/>
    </xf>
    <xf numFmtId="16" fontId="14" fillId="0" borderId="2" xfId="1" applyNumberFormat="1" applyFont="1" applyBorder="1" applyAlignment="1" applyProtection="1">
      <alignment horizontal="center" vertical="center"/>
    </xf>
    <xf numFmtId="16" fontId="14" fillId="0" borderId="5" xfId="1" applyNumberFormat="1" applyFont="1" applyBorder="1" applyAlignment="1" applyProtection="1">
      <alignment horizontal="center" vertical="center"/>
    </xf>
    <xf numFmtId="0" fontId="17" fillId="0" borderId="2" xfId="1" applyFont="1" applyBorder="1" applyAlignment="1" applyProtection="1">
      <alignment horizontal="right" vertical="center" wrapText="1"/>
    </xf>
    <xf numFmtId="0" fontId="17" fillId="0" borderId="5" xfId="1" applyFont="1" applyBorder="1" applyAlignment="1" applyProtection="1">
      <alignment horizontal="right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8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164" fontId="9" fillId="0" borderId="3" xfId="1" applyNumberFormat="1" applyFont="1" applyBorder="1" applyAlignment="1" applyProtection="1">
      <alignment horizontal="center" vertical="center" wrapText="1"/>
    </xf>
    <xf numFmtId="164" fontId="9" fillId="0" borderId="4" xfId="1" applyNumberFormat="1" applyFont="1" applyBorder="1" applyAlignment="1" applyProtection="1">
      <alignment horizontal="center" vertical="center" wrapText="1"/>
    </xf>
    <xf numFmtId="164" fontId="9" fillId="0" borderId="6" xfId="1" applyNumberFormat="1" applyFont="1" applyBorder="1" applyAlignment="1" applyProtection="1">
      <alignment horizontal="center" vertical="center" wrapText="1"/>
    </xf>
    <xf numFmtId="164" fontId="9" fillId="0" borderId="7" xfId="1" applyNumberFormat="1" applyFont="1" applyBorder="1" applyAlignment="1" applyProtection="1">
      <alignment horizontal="center" vertical="center" wrapText="1"/>
    </xf>
    <xf numFmtId="164" fontId="9" fillId="0" borderId="0" xfId="1" applyNumberFormat="1" applyFont="1" applyAlignment="1" applyProtection="1">
      <alignment horizontal="center" vertical="center" wrapText="1"/>
    </xf>
    <xf numFmtId="164" fontId="9" fillId="0" borderId="1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164" fontId="9" fillId="0" borderId="5" xfId="1" applyNumberFormat="1" applyFont="1" applyFill="1" applyBorder="1" applyAlignment="1" applyProtection="1">
      <alignment horizontal="center" vertical="center" wrapText="1"/>
    </xf>
    <xf numFmtId="164" fontId="9" fillId="0" borderId="2" xfId="1" applyNumberFormat="1" applyFont="1" applyBorder="1" applyAlignment="1" applyProtection="1">
      <alignment horizontal="center" vertical="center" wrapText="1"/>
    </xf>
    <xf numFmtId="164" fontId="9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4"/>
  <sheetViews>
    <sheetView tabSelected="1" workbookViewId="0">
      <selection activeCell="G7" sqref="G7"/>
    </sheetView>
  </sheetViews>
  <sheetFormatPr defaultColWidth="9.140625" defaultRowHeight="15" x14ac:dyDescent="0.25"/>
  <cols>
    <col min="1" max="1" width="6.5703125" style="59" customWidth="1"/>
    <col min="2" max="2" width="41.7109375" style="59" customWidth="1"/>
    <col min="3" max="3" width="20.85546875" style="60" customWidth="1"/>
    <col min="4" max="4" width="18" style="61" customWidth="1"/>
    <col min="5" max="5" width="14.7109375" style="59" customWidth="1"/>
    <col min="6" max="6" width="15" style="59" customWidth="1"/>
    <col min="7" max="7" width="13.85546875" style="59" customWidth="1"/>
    <col min="8" max="8" width="12.140625" style="59" customWidth="1"/>
    <col min="9" max="9" width="10.85546875" style="59" customWidth="1"/>
    <col min="10" max="10" width="14.28515625" style="59" customWidth="1"/>
    <col min="11" max="11" width="13.5703125" style="59" customWidth="1"/>
    <col min="12" max="12" width="15.140625" style="59" customWidth="1"/>
    <col min="13" max="13" width="13" style="59" customWidth="1"/>
    <col min="14" max="14" width="15.28515625" style="59" customWidth="1"/>
    <col min="15" max="15" width="13.7109375" style="59" customWidth="1"/>
    <col min="16" max="16" width="15" style="59" customWidth="1"/>
    <col min="17" max="17" width="11.5703125" style="59" customWidth="1"/>
    <col min="18" max="18" width="14.42578125" style="59" customWidth="1"/>
    <col min="19" max="19" width="11.5703125" style="59" customWidth="1"/>
    <col min="20" max="20" width="13" style="59" customWidth="1"/>
    <col min="21" max="21" width="11.5703125" style="59" customWidth="1"/>
    <col min="22" max="22" width="14.28515625" style="59" customWidth="1"/>
    <col min="23" max="23" width="11.5703125" style="59" customWidth="1"/>
    <col min="24" max="24" width="15" style="59" customWidth="1"/>
    <col min="25" max="25" width="11.5703125" style="59" customWidth="1"/>
    <col min="26" max="26" width="16.140625" style="59" customWidth="1"/>
    <col min="27" max="27" width="11.5703125" style="59" customWidth="1"/>
    <col min="28" max="28" width="14.85546875" style="59" customWidth="1"/>
    <col min="29" max="29" width="11.5703125" style="59" customWidth="1"/>
    <col min="30" max="30" width="13.42578125" style="59" customWidth="1"/>
    <col min="31" max="31" width="11.5703125" style="59" customWidth="1"/>
    <col min="32" max="32" width="15" style="59" customWidth="1"/>
    <col min="33" max="33" width="11.5703125" style="59" customWidth="1"/>
    <col min="34" max="34" width="38.5703125" style="59" customWidth="1"/>
    <col min="35" max="16384" width="9.140625" style="59"/>
  </cols>
  <sheetData>
    <row r="1" spans="1:35" s="1" customFormat="1" ht="23.25" customHeight="1" x14ac:dyDescent="0.25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5" s="1" customFormat="1" ht="15.75" x14ac:dyDescent="0.25">
      <c r="A2" s="9"/>
      <c r="B2" s="9"/>
      <c r="C2" s="118" t="s">
        <v>0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5" s="1" customFormat="1" ht="27" customHeight="1" x14ac:dyDescent="0.25">
      <c r="A3" s="9"/>
      <c r="B3" s="9"/>
      <c r="C3" s="119" t="s">
        <v>1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 t="s">
        <v>2</v>
      </c>
      <c r="AH3" s="12"/>
    </row>
    <row r="4" spans="1:35" s="1" customFormat="1" ht="15" customHeight="1" x14ac:dyDescent="0.25">
      <c r="A4" s="120" t="s">
        <v>3</v>
      </c>
      <c r="B4" s="123" t="s">
        <v>4</v>
      </c>
      <c r="C4" s="126" t="s">
        <v>5</v>
      </c>
      <c r="D4" s="129" t="s">
        <v>6</v>
      </c>
      <c r="E4" s="131" t="s">
        <v>6</v>
      </c>
      <c r="F4" s="131" t="s">
        <v>7</v>
      </c>
      <c r="G4" s="131" t="s">
        <v>8</v>
      </c>
      <c r="H4" s="114" t="s">
        <v>9</v>
      </c>
      <c r="I4" s="115"/>
      <c r="J4" s="114" t="s">
        <v>10</v>
      </c>
      <c r="K4" s="115"/>
      <c r="L4" s="114" t="s">
        <v>11</v>
      </c>
      <c r="M4" s="115"/>
      <c r="N4" s="114" t="s">
        <v>12</v>
      </c>
      <c r="O4" s="115"/>
      <c r="P4" s="114" t="s">
        <v>13</v>
      </c>
      <c r="Q4" s="115"/>
      <c r="R4" s="114" t="s">
        <v>14</v>
      </c>
      <c r="S4" s="115"/>
      <c r="T4" s="114" t="s">
        <v>15</v>
      </c>
      <c r="U4" s="115"/>
      <c r="V4" s="114" t="s">
        <v>16</v>
      </c>
      <c r="W4" s="115"/>
      <c r="X4" s="114" t="s">
        <v>17</v>
      </c>
      <c r="Y4" s="115"/>
      <c r="Z4" s="114" t="s">
        <v>18</v>
      </c>
      <c r="AA4" s="115"/>
      <c r="AB4" s="114" t="s">
        <v>19</v>
      </c>
      <c r="AC4" s="115"/>
      <c r="AD4" s="114" t="s">
        <v>20</v>
      </c>
      <c r="AE4" s="115"/>
      <c r="AF4" s="114" t="s">
        <v>21</v>
      </c>
      <c r="AG4" s="115"/>
      <c r="AH4" s="105" t="s">
        <v>22</v>
      </c>
    </row>
    <row r="5" spans="1:35" s="1" customFormat="1" ht="39" customHeight="1" x14ac:dyDescent="0.25">
      <c r="A5" s="121"/>
      <c r="B5" s="124"/>
      <c r="C5" s="127"/>
      <c r="D5" s="130"/>
      <c r="E5" s="132"/>
      <c r="F5" s="132"/>
      <c r="G5" s="132"/>
      <c r="H5" s="116"/>
      <c r="I5" s="117"/>
      <c r="J5" s="116"/>
      <c r="K5" s="117"/>
      <c r="L5" s="116"/>
      <c r="M5" s="117"/>
      <c r="N5" s="116"/>
      <c r="O5" s="117"/>
      <c r="P5" s="116"/>
      <c r="Q5" s="117"/>
      <c r="R5" s="116"/>
      <c r="S5" s="117"/>
      <c r="T5" s="116"/>
      <c r="U5" s="117"/>
      <c r="V5" s="116"/>
      <c r="W5" s="117"/>
      <c r="X5" s="116"/>
      <c r="Y5" s="117"/>
      <c r="Z5" s="116"/>
      <c r="AA5" s="117"/>
      <c r="AB5" s="116"/>
      <c r="AC5" s="117"/>
      <c r="AD5" s="116"/>
      <c r="AE5" s="117"/>
      <c r="AF5" s="116"/>
      <c r="AG5" s="117"/>
      <c r="AH5" s="106"/>
    </row>
    <row r="6" spans="1:35" s="1" customFormat="1" ht="64.5" customHeight="1" x14ac:dyDescent="0.25">
      <c r="A6" s="122"/>
      <c r="B6" s="125"/>
      <c r="C6" s="128"/>
      <c r="D6" s="13">
        <v>2025</v>
      </c>
      <c r="E6" s="14">
        <v>45809</v>
      </c>
      <c r="F6" s="14">
        <v>45809</v>
      </c>
      <c r="G6" s="14">
        <v>45809</v>
      </c>
      <c r="H6" s="15" t="s">
        <v>23</v>
      </c>
      <c r="I6" s="15" t="s">
        <v>24</v>
      </c>
      <c r="J6" s="15" t="s">
        <v>25</v>
      </c>
      <c r="K6" s="15" t="s">
        <v>26</v>
      </c>
      <c r="L6" s="15" t="s">
        <v>25</v>
      </c>
      <c r="M6" s="15" t="s">
        <v>26</v>
      </c>
      <c r="N6" s="15" t="s">
        <v>25</v>
      </c>
      <c r="O6" s="15" t="s">
        <v>26</v>
      </c>
      <c r="P6" s="15" t="s">
        <v>25</v>
      </c>
      <c r="Q6" s="15" t="s">
        <v>26</v>
      </c>
      <c r="R6" s="15" t="s">
        <v>25</v>
      </c>
      <c r="S6" s="15" t="s">
        <v>26</v>
      </c>
      <c r="T6" s="15" t="s">
        <v>25</v>
      </c>
      <c r="U6" s="15" t="s">
        <v>26</v>
      </c>
      <c r="V6" s="15" t="s">
        <v>25</v>
      </c>
      <c r="W6" s="15" t="s">
        <v>26</v>
      </c>
      <c r="X6" s="15" t="s">
        <v>25</v>
      </c>
      <c r="Y6" s="15" t="s">
        <v>26</v>
      </c>
      <c r="Z6" s="15" t="s">
        <v>25</v>
      </c>
      <c r="AA6" s="15" t="s">
        <v>26</v>
      </c>
      <c r="AB6" s="15" t="s">
        <v>25</v>
      </c>
      <c r="AC6" s="15" t="s">
        <v>26</v>
      </c>
      <c r="AD6" s="15" t="s">
        <v>25</v>
      </c>
      <c r="AE6" s="15" t="s">
        <v>26</v>
      </c>
      <c r="AF6" s="15" t="s">
        <v>25</v>
      </c>
      <c r="AG6" s="15" t="s">
        <v>26</v>
      </c>
      <c r="AH6" s="107"/>
    </row>
    <row r="7" spans="1:35" s="18" customFormat="1" ht="15.75" x14ac:dyDescent="0.25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  <c r="R7" s="16">
        <v>18</v>
      </c>
      <c r="S7" s="16">
        <v>19</v>
      </c>
      <c r="T7" s="16">
        <v>20</v>
      </c>
      <c r="U7" s="16">
        <v>21</v>
      </c>
      <c r="V7" s="16">
        <v>22</v>
      </c>
      <c r="W7" s="16">
        <v>23</v>
      </c>
      <c r="X7" s="16">
        <v>24</v>
      </c>
      <c r="Y7" s="16">
        <v>25</v>
      </c>
      <c r="Z7" s="16">
        <v>26</v>
      </c>
      <c r="AA7" s="16">
        <v>27</v>
      </c>
      <c r="AB7" s="16">
        <v>28</v>
      </c>
      <c r="AC7" s="16">
        <v>29</v>
      </c>
      <c r="AD7" s="16">
        <v>30</v>
      </c>
      <c r="AE7" s="16">
        <v>31</v>
      </c>
      <c r="AF7" s="16">
        <v>32</v>
      </c>
      <c r="AG7" s="16">
        <v>33</v>
      </c>
      <c r="AH7" s="16">
        <v>34</v>
      </c>
    </row>
    <row r="8" spans="1:35" s="23" customFormat="1" ht="31.5" customHeight="1" x14ac:dyDescent="0.25">
      <c r="A8" s="108"/>
      <c r="B8" s="111" t="s">
        <v>27</v>
      </c>
      <c r="C8" s="19" t="s">
        <v>28</v>
      </c>
      <c r="D8" s="20">
        <f>D9+D10+D12+D11</f>
        <v>5148692.0840000007</v>
      </c>
      <c r="E8" s="20">
        <f t="shared" ref="E8:G8" si="0">E9+E10+E12+E11</f>
        <v>1201081.172</v>
      </c>
      <c r="F8" s="20">
        <f t="shared" si="0"/>
        <v>1268562.6230000001</v>
      </c>
      <c r="G8" s="20">
        <f t="shared" si="0"/>
        <v>1268562.6230000001</v>
      </c>
      <c r="H8" s="20">
        <f>IFERROR(G8/D8*100,0)</f>
        <v>24.638541250935681</v>
      </c>
      <c r="I8" s="20">
        <f>IFERROR(G8/E8*100,0)</f>
        <v>105.61839220971487</v>
      </c>
      <c r="J8" s="21">
        <f>J9+J10+J12+J11</f>
        <v>337368.783</v>
      </c>
      <c r="K8" s="21">
        <f t="shared" ref="K8:AG8" si="1">K9+K10+K12+K11</f>
        <v>135134.304</v>
      </c>
      <c r="L8" s="21">
        <f t="shared" si="1"/>
        <v>464615.70200000005</v>
      </c>
      <c r="M8" s="21">
        <f t="shared" si="1"/>
        <v>174827.71</v>
      </c>
      <c r="N8" s="21">
        <f t="shared" si="1"/>
        <v>399096.68700000003</v>
      </c>
      <c r="O8" s="21">
        <f t="shared" si="1"/>
        <v>492812.7790000001</v>
      </c>
      <c r="P8" s="21">
        <f t="shared" si="1"/>
        <v>374592.19300000003</v>
      </c>
      <c r="Q8" s="21">
        <f t="shared" si="1"/>
        <v>465787.83000000007</v>
      </c>
      <c r="R8" s="21">
        <f t="shared" si="1"/>
        <v>501941.54399999999</v>
      </c>
      <c r="S8" s="21">
        <f t="shared" si="1"/>
        <v>0</v>
      </c>
      <c r="T8" s="21">
        <f t="shared" si="1"/>
        <v>353971.739</v>
      </c>
      <c r="U8" s="21">
        <f t="shared" si="1"/>
        <v>0</v>
      </c>
      <c r="V8" s="21">
        <f t="shared" si="1"/>
        <v>240298.61700000003</v>
      </c>
      <c r="W8" s="21">
        <f t="shared" si="1"/>
        <v>0</v>
      </c>
      <c r="X8" s="21">
        <f t="shared" si="1"/>
        <v>266370.505</v>
      </c>
      <c r="Y8" s="21">
        <f t="shared" si="1"/>
        <v>0</v>
      </c>
      <c r="Z8" s="21">
        <f t="shared" si="1"/>
        <v>279334.68400000001</v>
      </c>
      <c r="AA8" s="21">
        <f t="shared" si="1"/>
        <v>0</v>
      </c>
      <c r="AB8" s="21">
        <f t="shared" si="1"/>
        <v>353244.27399999998</v>
      </c>
      <c r="AC8" s="21">
        <f t="shared" si="1"/>
        <v>0</v>
      </c>
      <c r="AD8" s="21">
        <f t="shared" si="1"/>
        <v>356404.52600000007</v>
      </c>
      <c r="AE8" s="21">
        <f t="shared" si="1"/>
        <v>0</v>
      </c>
      <c r="AF8" s="21">
        <f t="shared" si="1"/>
        <v>1221452.8299999998</v>
      </c>
      <c r="AG8" s="21">
        <f t="shared" si="1"/>
        <v>0</v>
      </c>
      <c r="AH8" s="22"/>
    </row>
    <row r="9" spans="1:35" s="27" customFormat="1" ht="26.25" customHeight="1" x14ac:dyDescent="0.25">
      <c r="A9" s="109"/>
      <c r="B9" s="112"/>
      <c r="C9" s="24" t="s">
        <v>29</v>
      </c>
      <c r="D9" s="25">
        <f>J9+L9+N9+P9+R9+T9+V9+X9+Z9+AB9+AD9+AF9</f>
        <v>144798.87499999997</v>
      </c>
      <c r="E9" s="25">
        <f>J9+L9+N9</f>
        <v>37381.307999999997</v>
      </c>
      <c r="F9" s="25">
        <f>G9</f>
        <v>35291.69</v>
      </c>
      <c r="G9" s="25">
        <f>K9+M9+O9+Q9+S9+U9+W9+Y9+AA9+AC9+AE9+AG9</f>
        <v>35291.69</v>
      </c>
      <c r="H9" s="25">
        <f t="shared" ref="H9" si="2">IFERROR(G9/D9*100,0)</f>
        <v>24.372903449698768</v>
      </c>
      <c r="I9" s="25">
        <f t="shared" ref="I9" si="3">IFERROR(G9/E9*100,0)</f>
        <v>94.409992288124329</v>
      </c>
      <c r="J9" s="25">
        <f>J15+J20+J34</f>
        <v>9112.9679999999989</v>
      </c>
      <c r="K9" s="25">
        <f t="shared" ref="K9:AG9" si="4">K15+K20+K34</f>
        <v>0</v>
      </c>
      <c r="L9" s="25">
        <f t="shared" si="4"/>
        <v>12063.217999999999</v>
      </c>
      <c r="M9" s="25">
        <f t="shared" si="4"/>
        <v>2950.25</v>
      </c>
      <c r="N9" s="25">
        <f t="shared" si="4"/>
        <v>16205.121999999999</v>
      </c>
      <c r="O9" s="25">
        <f t="shared" si="4"/>
        <v>22355.949999999997</v>
      </c>
      <c r="P9" s="25">
        <f t="shared" si="4"/>
        <v>17827.411</v>
      </c>
      <c r="Q9" s="25">
        <f t="shared" si="4"/>
        <v>9985.4900000000016</v>
      </c>
      <c r="R9" s="25">
        <f t="shared" si="4"/>
        <v>12236.063999999998</v>
      </c>
      <c r="S9" s="25">
        <f t="shared" si="4"/>
        <v>0</v>
      </c>
      <c r="T9" s="25">
        <f t="shared" si="4"/>
        <v>12341.862999999999</v>
      </c>
      <c r="U9" s="25">
        <f t="shared" si="4"/>
        <v>0</v>
      </c>
      <c r="V9" s="25">
        <f t="shared" si="4"/>
        <v>9112.9679999999989</v>
      </c>
      <c r="W9" s="25">
        <f t="shared" si="4"/>
        <v>0</v>
      </c>
      <c r="X9" s="25">
        <f t="shared" si="4"/>
        <v>9112.9679999999989</v>
      </c>
      <c r="Y9" s="25">
        <f t="shared" si="4"/>
        <v>0</v>
      </c>
      <c r="Z9" s="25">
        <f t="shared" si="4"/>
        <v>10871.407999999999</v>
      </c>
      <c r="AA9" s="25">
        <f t="shared" si="4"/>
        <v>0</v>
      </c>
      <c r="AB9" s="25">
        <f t="shared" si="4"/>
        <v>12168.909</v>
      </c>
      <c r="AC9" s="25">
        <f t="shared" si="4"/>
        <v>0</v>
      </c>
      <c r="AD9" s="25">
        <f t="shared" si="4"/>
        <v>11944.182999999999</v>
      </c>
      <c r="AE9" s="25">
        <f t="shared" si="4"/>
        <v>0</v>
      </c>
      <c r="AF9" s="25">
        <f t="shared" si="4"/>
        <v>11801.793</v>
      </c>
      <c r="AG9" s="25">
        <f t="shared" si="4"/>
        <v>0</v>
      </c>
      <c r="AH9" s="26"/>
    </row>
    <row r="10" spans="1:35" s="27" customFormat="1" ht="40.5" customHeight="1" x14ac:dyDescent="0.25">
      <c r="A10" s="109"/>
      <c r="B10" s="112"/>
      <c r="C10" s="24" t="s">
        <v>30</v>
      </c>
      <c r="D10" s="25">
        <f t="shared" ref="D10:D12" si="5">J10+L10+N10+P10+R10+T10+V10+X10+Z10+AB10+AD10+AF10</f>
        <v>3952045.2170000002</v>
      </c>
      <c r="E10" s="25">
        <f t="shared" ref="E10:E12" si="6">J10+L10+N10</f>
        <v>857529.61400000006</v>
      </c>
      <c r="F10" s="25">
        <f t="shared" ref="F10:F12" si="7">G10</f>
        <v>881693.82000000007</v>
      </c>
      <c r="G10" s="25">
        <f t="shared" ref="G10:G12" si="8">K10+M10+O10+Q10+S10+U10+W10+Y10+AA10+AC10+AE10+AG10</f>
        <v>881693.82000000007</v>
      </c>
      <c r="H10" s="25">
        <f>IFERROR(G10/D10*100,0)</f>
        <v>22.309811036759704</v>
      </c>
      <c r="I10" s="25">
        <f>IFERROR(G10/E10*100,0)</f>
        <v>102.81788589052738</v>
      </c>
      <c r="J10" s="25">
        <f>J16+J21+J35+J72</f>
        <v>206861.334</v>
      </c>
      <c r="K10" s="25">
        <f t="shared" ref="K10:AG10" si="9">K16+K21+K35+K72</f>
        <v>44588.906000000003</v>
      </c>
      <c r="L10" s="25">
        <f t="shared" si="9"/>
        <v>356228.228</v>
      </c>
      <c r="M10" s="25">
        <f t="shared" si="9"/>
        <v>81428.194999999992</v>
      </c>
      <c r="N10" s="25">
        <f t="shared" si="9"/>
        <v>294440.05200000008</v>
      </c>
      <c r="O10" s="25">
        <f t="shared" si="9"/>
        <v>381567.02900000004</v>
      </c>
      <c r="P10" s="25">
        <f t="shared" si="9"/>
        <v>275572.11200000002</v>
      </c>
      <c r="Q10" s="25">
        <f t="shared" si="9"/>
        <v>374109.69000000006</v>
      </c>
      <c r="R10" s="25">
        <f t="shared" si="9"/>
        <v>407146.65199999994</v>
      </c>
      <c r="S10" s="25">
        <f t="shared" si="9"/>
        <v>0</v>
      </c>
      <c r="T10" s="25">
        <f t="shared" si="9"/>
        <v>272900.228</v>
      </c>
      <c r="U10" s="25">
        <f t="shared" si="9"/>
        <v>0</v>
      </c>
      <c r="V10" s="25">
        <f t="shared" si="9"/>
        <v>179139.40700000001</v>
      </c>
      <c r="W10" s="25">
        <f t="shared" si="9"/>
        <v>0</v>
      </c>
      <c r="X10" s="25">
        <f t="shared" si="9"/>
        <v>155562.704</v>
      </c>
      <c r="Y10" s="25">
        <f t="shared" si="9"/>
        <v>0</v>
      </c>
      <c r="Z10" s="25">
        <f t="shared" si="9"/>
        <v>216153.39199999999</v>
      </c>
      <c r="AA10" s="25">
        <f t="shared" si="9"/>
        <v>0</v>
      </c>
      <c r="AB10" s="25">
        <f t="shared" si="9"/>
        <v>269113.55</v>
      </c>
      <c r="AC10" s="25">
        <f t="shared" si="9"/>
        <v>0</v>
      </c>
      <c r="AD10" s="25">
        <f t="shared" si="9"/>
        <v>280880.37100000004</v>
      </c>
      <c r="AE10" s="25">
        <f t="shared" si="9"/>
        <v>0</v>
      </c>
      <c r="AF10" s="25">
        <f t="shared" si="9"/>
        <v>1038047.187</v>
      </c>
      <c r="AG10" s="25">
        <f t="shared" si="9"/>
        <v>0</v>
      </c>
      <c r="AH10" s="26"/>
    </row>
    <row r="11" spans="1:35" s="27" customFormat="1" ht="40.5" customHeight="1" x14ac:dyDescent="0.25">
      <c r="A11" s="109"/>
      <c r="B11" s="112"/>
      <c r="C11" s="24" t="s">
        <v>31</v>
      </c>
      <c r="D11" s="25">
        <f t="shared" si="5"/>
        <v>934853.09400000004</v>
      </c>
      <c r="E11" s="25">
        <f t="shared" si="6"/>
        <v>250017.47900000002</v>
      </c>
      <c r="F11" s="25">
        <f t="shared" si="7"/>
        <v>312800.94500000007</v>
      </c>
      <c r="G11" s="25">
        <f t="shared" si="8"/>
        <v>312800.94500000007</v>
      </c>
      <c r="H11" s="25">
        <f>IFERROR(G11/D11*100,0)</f>
        <v>33.459903701190512</v>
      </c>
      <c r="I11" s="25">
        <f>IFERROR(G11/E11*100,0)</f>
        <v>125.11163069522833</v>
      </c>
      <c r="J11" s="25">
        <f t="shared" ref="J11:AG11" si="10">J18+J22+J36+J73+J80+J93+J100</f>
        <v>90032.301000000007</v>
      </c>
      <c r="K11" s="25">
        <f t="shared" si="10"/>
        <v>84826.47600000001</v>
      </c>
      <c r="L11" s="25">
        <f t="shared" si="10"/>
        <v>82432.926000000007</v>
      </c>
      <c r="M11" s="25">
        <f t="shared" si="10"/>
        <v>79233.978999999992</v>
      </c>
      <c r="N11" s="25">
        <f t="shared" si="10"/>
        <v>77552.252000000008</v>
      </c>
      <c r="O11" s="25">
        <f t="shared" si="10"/>
        <v>77614.900000000009</v>
      </c>
      <c r="P11" s="25">
        <f t="shared" si="10"/>
        <v>71488.202000000005</v>
      </c>
      <c r="Q11" s="25">
        <f t="shared" si="10"/>
        <v>71125.59</v>
      </c>
      <c r="R11" s="25">
        <f t="shared" si="10"/>
        <v>73827.475000000006</v>
      </c>
      <c r="S11" s="25">
        <f t="shared" si="10"/>
        <v>0</v>
      </c>
      <c r="T11" s="25">
        <f t="shared" si="10"/>
        <v>62222.979999999996</v>
      </c>
      <c r="U11" s="25">
        <f t="shared" si="10"/>
        <v>0</v>
      </c>
      <c r="V11" s="25">
        <f t="shared" si="10"/>
        <v>45880.770000000004</v>
      </c>
      <c r="W11" s="25">
        <f t="shared" si="10"/>
        <v>0</v>
      </c>
      <c r="X11" s="25">
        <f t="shared" si="10"/>
        <v>95722.517999999996</v>
      </c>
      <c r="Y11" s="25">
        <f t="shared" si="10"/>
        <v>0</v>
      </c>
      <c r="Z11" s="25">
        <f t="shared" si="10"/>
        <v>46329.953000000001</v>
      </c>
      <c r="AA11" s="25">
        <f t="shared" si="10"/>
        <v>0</v>
      </c>
      <c r="AB11" s="25">
        <f t="shared" si="10"/>
        <v>65077.194999999992</v>
      </c>
      <c r="AC11" s="25">
        <f t="shared" si="10"/>
        <v>0</v>
      </c>
      <c r="AD11" s="25">
        <f t="shared" si="10"/>
        <v>57590.290999999997</v>
      </c>
      <c r="AE11" s="25">
        <f t="shared" si="10"/>
        <v>0</v>
      </c>
      <c r="AF11" s="25">
        <f t="shared" si="10"/>
        <v>166696.23099999997</v>
      </c>
      <c r="AG11" s="25">
        <f t="shared" si="10"/>
        <v>0</v>
      </c>
      <c r="AH11" s="26"/>
    </row>
    <row r="12" spans="1:35" s="27" customFormat="1" ht="34.5" customHeight="1" x14ac:dyDescent="0.25">
      <c r="A12" s="110"/>
      <c r="B12" s="113"/>
      <c r="C12" s="24" t="s">
        <v>32</v>
      </c>
      <c r="D12" s="25">
        <f t="shared" si="5"/>
        <v>116994.898</v>
      </c>
      <c r="E12" s="25">
        <f t="shared" si="6"/>
        <v>56152.771000000001</v>
      </c>
      <c r="F12" s="25">
        <f t="shared" si="7"/>
        <v>38776.167999999998</v>
      </c>
      <c r="G12" s="25">
        <f t="shared" si="8"/>
        <v>38776.167999999998</v>
      </c>
      <c r="H12" s="25">
        <f>IFERROR(G12/D12*100,0)</f>
        <v>33.14346921350365</v>
      </c>
      <c r="I12" s="25">
        <f>IFERROR(G12/E12*100,0)</f>
        <v>69.054772025409036</v>
      </c>
      <c r="J12" s="25">
        <f>J37</f>
        <v>31362.18</v>
      </c>
      <c r="K12" s="25">
        <f t="shared" ref="K12:AG12" si="11">K37</f>
        <v>5718.9219999999996</v>
      </c>
      <c r="L12" s="25">
        <f t="shared" si="11"/>
        <v>13891.33</v>
      </c>
      <c r="M12" s="25">
        <f t="shared" si="11"/>
        <v>11215.286</v>
      </c>
      <c r="N12" s="25">
        <f t="shared" si="11"/>
        <v>10899.261</v>
      </c>
      <c r="O12" s="25">
        <f t="shared" si="11"/>
        <v>11274.9</v>
      </c>
      <c r="P12" s="25">
        <f t="shared" si="11"/>
        <v>9704.4680000000008</v>
      </c>
      <c r="Q12" s="25">
        <f t="shared" si="11"/>
        <v>10567.06</v>
      </c>
      <c r="R12" s="25">
        <f t="shared" si="11"/>
        <v>8731.3529999999992</v>
      </c>
      <c r="S12" s="25">
        <f t="shared" si="11"/>
        <v>0</v>
      </c>
      <c r="T12" s="25">
        <f t="shared" si="11"/>
        <v>6506.6679999999997</v>
      </c>
      <c r="U12" s="25">
        <f t="shared" si="11"/>
        <v>0</v>
      </c>
      <c r="V12" s="25">
        <f t="shared" si="11"/>
        <v>6165.4719999999998</v>
      </c>
      <c r="W12" s="25">
        <f t="shared" si="11"/>
        <v>0</v>
      </c>
      <c r="X12" s="25">
        <f t="shared" si="11"/>
        <v>5972.3149999999996</v>
      </c>
      <c r="Y12" s="25">
        <f t="shared" si="11"/>
        <v>0</v>
      </c>
      <c r="Z12" s="25">
        <f t="shared" si="11"/>
        <v>5979.9309999999996</v>
      </c>
      <c r="AA12" s="25">
        <f t="shared" si="11"/>
        <v>0</v>
      </c>
      <c r="AB12" s="25">
        <f t="shared" si="11"/>
        <v>6884.62</v>
      </c>
      <c r="AC12" s="25">
        <f t="shared" si="11"/>
        <v>0</v>
      </c>
      <c r="AD12" s="25">
        <f t="shared" si="11"/>
        <v>5989.6809999999996</v>
      </c>
      <c r="AE12" s="25">
        <f t="shared" si="11"/>
        <v>0</v>
      </c>
      <c r="AF12" s="25">
        <f t="shared" si="11"/>
        <v>4907.6190000000024</v>
      </c>
      <c r="AG12" s="25">
        <f t="shared" si="11"/>
        <v>0</v>
      </c>
      <c r="AH12" s="26"/>
    </row>
    <row r="13" spans="1:35" s="30" customFormat="1" ht="18.75" customHeight="1" x14ac:dyDescent="0.25">
      <c r="A13" s="28"/>
      <c r="B13" s="62" t="s">
        <v>33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4"/>
      <c r="AH13" s="29"/>
    </row>
    <row r="14" spans="1:35" s="35" customFormat="1" ht="23.25" customHeight="1" x14ac:dyDescent="0.25">
      <c r="A14" s="76" t="s">
        <v>34</v>
      </c>
      <c r="B14" s="82" t="s">
        <v>35</v>
      </c>
      <c r="C14" s="31" t="s">
        <v>28</v>
      </c>
      <c r="D14" s="20">
        <f>D16+D18+D15+D17</f>
        <v>1790429.412</v>
      </c>
      <c r="E14" s="20">
        <f>E16+E18+E15+E17</f>
        <v>43274.12</v>
      </c>
      <c r="F14" s="20">
        <f>F16+F18+F15+F17</f>
        <v>32088.15</v>
      </c>
      <c r="G14" s="20">
        <f>G16+G18+G15+G17</f>
        <v>32088.15</v>
      </c>
      <c r="H14" s="20">
        <f>H16+H18+H15+H17</f>
        <v>4.1912807958149241</v>
      </c>
      <c r="I14" s="32">
        <f>IFERROR(G14/E14*100,0)</f>
        <v>74.150901277715178</v>
      </c>
      <c r="J14" s="20">
        <f t="shared" ref="J14:AG14" si="12">J16+J18+J15+J17</f>
        <v>0</v>
      </c>
      <c r="K14" s="20">
        <f t="shared" si="12"/>
        <v>0</v>
      </c>
      <c r="L14" s="20">
        <f t="shared" si="12"/>
        <v>0</v>
      </c>
      <c r="M14" s="20">
        <f t="shared" si="12"/>
        <v>0</v>
      </c>
      <c r="N14" s="20">
        <f t="shared" si="12"/>
        <v>18379.603999999999</v>
      </c>
      <c r="O14" s="20">
        <f t="shared" si="12"/>
        <v>13869.64</v>
      </c>
      <c r="P14" s="20">
        <f t="shared" si="12"/>
        <v>24894.516</v>
      </c>
      <c r="Q14" s="20">
        <f t="shared" si="12"/>
        <v>18218.509999999998</v>
      </c>
      <c r="R14" s="20">
        <f t="shared" si="12"/>
        <v>17466.137999999999</v>
      </c>
      <c r="S14" s="20">
        <f t="shared" si="12"/>
        <v>0</v>
      </c>
      <c r="T14" s="20">
        <f t="shared" si="12"/>
        <v>45555.199999999997</v>
      </c>
      <c r="U14" s="20">
        <f t="shared" si="12"/>
        <v>0</v>
      </c>
      <c r="V14" s="20">
        <f t="shared" si="12"/>
        <v>53147.743000000002</v>
      </c>
      <c r="W14" s="20">
        <f t="shared" si="12"/>
        <v>0</v>
      </c>
      <c r="X14" s="20">
        <f t="shared" si="12"/>
        <v>63777.280000000006</v>
      </c>
      <c r="Y14" s="20">
        <f t="shared" si="12"/>
        <v>0</v>
      </c>
      <c r="Z14" s="20">
        <f t="shared" si="12"/>
        <v>80480.854000000007</v>
      </c>
      <c r="AA14" s="20">
        <f t="shared" si="12"/>
        <v>0</v>
      </c>
      <c r="AB14" s="20">
        <f t="shared" si="12"/>
        <v>136665.60200000001</v>
      </c>
      <c r="AC14" s="20">
        <f t="shared" si="12"/>
        <v>0</v>
      </c>
      <c r="AD14" s="20">
        <f t="shared" si="12"/>
        <v>167035.73500000002</v>
      </c>
      <c r="AE14" s="20">
        <f t="shared" si="12"/>
        <v>0</v>
      </c>
      <c r="AF14" s="20">
        <f t="shared" si="12"/>
        <v>1183026.74</v>
      </c>
      <c r="AG14" s="20">
        <f t="shared" si="12"/>
        <v>0</v>
      </c>
      <c r="AH14" s="33" t="s">
        <v>36</v>
      </c>
      <c r="AI14" s="34"/>
    </row>
    <row r="15" spans="1:35" s="35" customFormat="1" ht="17.25" customHeight="1" x14ac:dyDescent="0.25">
      <c r="A15" s="77"/>
      <c r="B15" s="83"/>
      <c r="C15" s="36" t="s">
        <v>29</v>
      </c>
      <c r="D15" s="25">
        <f>SUM(J15,L15,N15,P15,R15,T15,V15,X15,Z15,AB15,AD15,AF15)</f>
        <v>11083.798000000001</v>
      </c>
      <c r="E15" s="32">
        <f>J15+L15+N15+P15</f>
        <v>10523.25</v>
      </c>
      <c r="F15" s="32">
        <f>G15</f>
        <v>0</v>
      </c>
      <c r="G15" s="32">
        <f>SUM(K15,M15,O15,Q15,S15,U15,W15,Y15,AA15,AC15,AE15,AG15)</f>
        <v>0</v>
      </c>
      <c r="H15" s="32">
        <f t="shared" ref="H15:H19" si="13">IFERROR(G15/D15*100,0)</f>
        <v>0</v>
      </c>
      <c r="I15" s="32">
        <f t="shared" ref="I15:I19" si="14">IFERROR(G15/E15*100,0)</f>
        <v>0</v>
      </c>
      <c r="J15" s="32">
        <v>0</v>
      </c>
      <c r="K15" s="32">
        <v>0</v>
      </c>
      <c r="L15" s="32">
        <v>0</v>
      </c>
      <c r="M15" s="32">
        <v>0</v>
      </c>
      <c r="N15" s="32">
        <v>4509.9639999999999</v>
      </c>
      <c r="O15" s="32">
        <v>0</v>
      </c>
      <c r="P15" s="32">
        <v>6013.2860000000001</v>
      </c>
      <c r="Q15" s="32">
        <v>0</v>
      </c>
      <c r="R15" s="32">
        <v>560.548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3"/>
      <c r="AI15" s="34"/>
    </row>
    <row r="16" spans="1:35" s="35" customFormat="1" ht="37.5" customHeight="1" x14ac:dyDescent="0.25">
      <c r="A16" s="77"/>
      <c r="B16" s="83"/>
      <c r="C16" s="36" t="s">
        <v>30</v>
      </c>
      <c r="D16" s="25">
        <f>SUM(J16,L16,N16,P16,R16,T16,V16,X16,Z16,AB16,AD16,AF16)</f>
        <v>1293765.625</v>
      </c>
      <c r="E16" s="32">
        <f t="shared" ref="E16:E18" si="15">J16+L16+N16+P16</f>
        <v>29475.79</v>
      </c>
      <c r="F16" s="32">
        <f>G16</f>
        <v>28879.34</v>
      </c>
      <c r="G16" s="32">
        <f>SUM(K16,M16,O16,Q16,S16,U16,W16,Y16,AA16,AC16,AE16,AG16)</f>
        <v>28879.34</v>
      </c>
      <c r="H16" s="32">
        <f t="shared" si="13"/>
        <v>2.232192558060893</v>
      </c>
      <c r="I16" s="32">
        <f>IFERROR(G16/E16*100,0)</f>
        <v>97.976474930782175</v>
      </c>
      <c r="J16" s="37">
        <v>0</v>
      </c>
      <c r="K16" s="37">
        <v>0</v>
      </c>
      <c r="L16" s="37">
        <v>0</v>
      </c>
      <c r="M16" s="37">
        <v>0</v>
      </c>
      <c r="N16" s="37">
        <v>12482.68</v>
      </c>
      <c r="O16" s="37">
        <v>12482.68</v>
      </c>
      <c r="P16" s="37">
        <v>16993.11</v>
      </c>
      <c r="Q16" s="37">
        <v>16396.66</v>
      </c>
      <c r="R16" s="37">
        <v>14106.65</v>
      </c>
      <c r="S16" s="37">
        <v>0</v>
      </c>
      <c r="T16" s="37">
        <v>40999.68</v>
      </c>
      <c r="U16" s="37">
        <v>0</v>
      </c>
      <c r="V16" s="37">
        <v>47832.97</v>
      </c>
      <c r="W16" s="37">
        <v>0</v>
      </c>
      <c r="X16" s="37">
        <v>57399.552000000003</v>
      </c>
      <c r="Y16" s="37">
        <v>0</v>
      </c>
      <c r="Z16" s="37">
        <v>72432.769</v>
      </c>
      <c r="AA16" s="37">
        <v>0</v>
      </c>
      <c r="AB16" s="37">
        <v>122999.042</v>
      </c>
      <c r="AC16" s="37">
        <v>0</v>
      </c>
      <c r="AD16" s="37">
        <v>150332.16200000001</v>
      </c>
      <c r="AE16" s="37">
        <v>0</v>
      </c>
      <c r="AF16" s="37">
        <v>758187.01</v>
      </c>
      <c r="AG16" s="37">
        <v>0</v>
      </c>
      <c r="AH16" s="33"/>
      <c r="AI16" s="34"/>
    </row>
    <row r="17" spans="1:35" s="35" customFormat="1" ht="57" customHeight="1" x14ac:dyDescent="0.25">
      <c r="A17" s="77"/>
      <c r="B17" s="83"/>
      <c r="C17" s="36" t="s">
        <v>37</v>
      </c>
      <c r="D17" s="25">
        <f>SUM(J17,L17,N17,P17,R17,T17,V17,X17,Z17,AB17,AD17,AF17)</f>
        <v>321789</v>
      </c>
      <c r="E17" s="32">
        <f t="shared" si="15"/>
        <v>0</v>
      </c>
      <c r="F17" s="32">
        <f>G17</f>
        <v>0</v>
      </c>
      <c r="G17" s="32">
        <f>SUM(K17,M17,O17,Q17,S17,U17,W17,Y17,AA17,AC17,AE17,AG17)</f>
        <v>0</v>
      </c>
      <c r="H17" s="32">
        <f t="shared" si="13"/>
        <v>0</v>
      </c>
      <c r="I17" s="32">
        <f t="shared" ref="I17" si="16">IFERROR(G17/E17*100,0)</f>
        <v>0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>
        <v>321789</v>
      </c>
      <c r="AG17" s="37"/>
      <c r="AH17" s="33"/>
      <c r="AI17" s="34"/>
    </row>
    <row r="18" spans="1:35" s="30" customFormat="1" ht="114" customHeight="1" x14ac:dyDescent="0.25">
      <c r="A18" s="78"/>
      <c r="B18" s="84"/>
      <c r="C18" s="36" t="s">
        <v>31</v>
      </c>
      <c r="D18" s="25">
        <f>SUM(J18,L18,N18,P18,R18,T18,V18,X18,Z18,AB18,AD18,AF18)</f>
        <v>163790.989</v>
      </c>
      <c r="E18" s="32">
        <f t="shared" si="15"/>
        <v>3275.08</v>
      </c>
      <c r="F18" s="32">
        <f>G18</f>
        <v>3208.81</v>
      </c>
      <c r="G18" s="32">
        <f>SUM(K18,M18,O18,Q18,S18,U18,W18,Y18,AA18,AC18,AE18,AG18)</f>
        <v>3208.81</v>
      </c>
      <c r="H18" s="32">
        <f t="shared" si="13"/>
        <v>1.9590882377540315</v>
      </c>
      <c r="I18" s="32">
        <f>IFERROR(G18/E18*100,0)</f>
        <v>97.976537977698257</v>
      </c>
      <c r="J18" s="38">
        <v>0</v>
      </c>
      <c r="K18" s="38">
        <v>0</v>
      </c>
      <c r="L18" s="38">
        <v>0</v>
      </c>
      <c r="M18" s="38">
        <v>0</v>
      </c>
      <c r="N18" s="38">
        <v>1386.96</v>
      </c>
      <c r="O18" s="38">
        <v>1386.96</v>
      </c>
      <c r="P18" s="38">
        <v>1888.12</v>
      </c>
      <c r="Q18" s="38">
        <v>1821.85</v>
      </c>
      <c r="R18" s="38">
        <v>2798.94</v>
      </c>
      <c r="S18" s="38">
        <v>0</v>
      </c>
      <c r="T18" s="38">
        <v>4555.5200000000004</v>
      </c>
      <c r="U18" s="38">
        <v>0</v>
      </c>
      <c r="V18" s="38">
        <v>5314.7730000000001</v>
      </c>
      <c r="W18" s="38">
        <v>0</v>
      </c>
      <c r="X18" s="38">
        <v>6377.7280000000001</v>
      </c>
      <c r="Y18" s="38">
        <v>0</v>
      </c>
      <c r="Z18" s="38">
        <v>8048.085</v>
      </c>
      <c r="AA18" s="38">
        <v>0</v>
      </c>
      <c r="AB18" s="38">
        <v>13666.56</v>
      </c>
      <c r="AC18" s="38">
        <v>0</v>
      </c>
      <c r="AD18" s="38">
        <v>16703.573</v>
      </c>
      <c r="AE18" s="38">
        <v>0</v>
      </c>
      <c r="AF18" s="38">
        <v>103050.73</v>
      </c>
      <c r="AG18" s="38">
        <v>0</v>
      </c>
      <c r="AH18" s="29"/>
      <c r="AI18" s="39"/>
    </row>
    <row r="19" spans="1:35" s="30" customFormat="1" ht="27.75" customHeight="1" x14ac:dyDescent="0.25">
      <c r="A19" s="99" t="s">
        <v>38</v>
      </c>
      <c r="B19" s="82" t="s">
        <v>39</v>
      </c>
      <c r="C19" s="31" t="s">
        <v>28</v>
      </c>
      <c r="D19" s="20">
        <f>D22+D21+D20</f>
        <v>110081.57999999997</v>
      </c>
      <c r="E19" s="20">
        <f t="shared" ref="E19:G19" si="17">E22+E21+E20</f>
        <v>27520.319999999996</v>
      </c>
      <c r="F19" s="20">
        <f t="shared" si="17"/>
        <v>27721.98</v>
      </c>
      <c r="G19" s="20">
        <f t="shared" si="17"/>
        <v>27721.98</v>
      </c>
      <c r="H19" s="40">
        <f t="shared" si="13"/>
        <v>25.183123280025598</v>
      </c>
      <c r="I19" s="40">
        <f t="shared" si="14"/>
        <v>100.73276764223674</v>
      </c>
      <c r="J19" s="41">
        <f>J22+J21+J20</f>
        <v>9173.4399999999987</v>
      </c>
      <c r="K19" s="41">
        <f t="shared" ref="K19:AG19" si="18">K22+K21+K20</f>
        <v>0</v>
      </c>
      <c r="L19" s="41">
        <f t="shared" si="18"/>
        <v>9173.4399999999987</v>
      </c>
      <c r="M19" s="41">
        <f t="shared" si="18"/>
        <v>0</v>
      </c>
      <c r="N19" s="41">
        <f t="shared" si="18"/>
        <v>9173.4399999999987</v>
      </c>
      <c r="O19" s="41">
        <f t="shared" si="18"/>
        <v>19913.809999999998</v>
      </c>
      <c r="P19" s="41">
        <f t="shared" si="18"/>
        <v>9173.4399999999987</v>
      </c>
      <c r="Q19" s="41">
        <f t="shared" si="18"/>
        <v>7808.170000000001</v>
      </c>
      <c r="R19" s="41">
        <f t="shared" si="18"/>
        <v>9173.5199999999986</v>
      </c>
      <c r="S19" s="41">
        <f t="shared" si="18"/>
        <v>0</v>
      </c>
      <c r="T19" s="41">
        <f t="shared" si="18"/>
        <v>9173.4399999999987</v>
      </c>
      <c r="U19" s="41">
        <f t="shared" si="18"/>
        <v>0</v>
      </c>
      <c r="V19" s="41">
        <f t="shared" si="18"/>
        <v>9173.4399999999987</v>
      </c>
      <c r="W19" s="41">
        <f t="shared" si="18"/>
        <v>0</v>
      </c>
      <c r="X19" s="41">
        <f t="shared" si="18"/>
        <v>9173.4399999999987</v>
      </c>
      <c r="Y19" s="41">
        <f t="shared" si="18"/>
        <v>0</v>
      </c>
      <c r="Z19" s="41">
        <f t="shared" si="18"/>
        <v>9173.4399999999987</v>
      </c>
      <c r="AA19" s="41">
        <f t="shared" si="18"/>
        <v>0</v>
      </c>
      <c r="AB19" s="41">
        <f t="shared" si="18"/>
        <v>9173.4399999999987</v>
      </c>
      <c r="AC19" s="41">
        <f t="shared" si="18"/>
        <v>0</v>
      </c>
      <c r="AD19" s="41">
        <f t="shared" si="18"/>
        <v>9173.4399999999987</v>
      </c>
      <c r="AE19" s="41">
        <f t="shared" si="18"/>
        <v>0</v>
      </c>
      <c r="AF19" s="41">
        <f t="shared" si="18"/>
        <v>9173.66</v>
      </c>
      <c r="AG19" s="41">
        <f t="shared" si="18"/>
        <v>0</v>
      </c>
      <c r="AH19" s="33"/>
      <c r="AI19" s="39"/>
    </row>
    <row r="20" spans="1:35" s="30" customFormat="1" ht="27.75" customHeight="1" x14ac:dyDescent="0.25">
      <c r="A20" s="100"/>
      <c r="B20" s="83"/>
      <c r="C20" s="36" t="s">
        <v>29</v>
      </c>
      <c r="D20" s="25">
        <f>SUM(J20,L20,N20,P20,R20,T20,V20,X20,Z20,AB20,AD20,AF20)</f>
        <v>109355.77999999997</v>
      </c>
      <c r="E20" s="25">
        <f>J20+L20+N20</f>
        <v>27338.903999999995</v>
      </c>
      <c r="F20" s="25">
        <f>G20</f>
        <v>27569.79</v>
      </c>
      <c r="G20" s="25">
        <f>SUM(K20,M20,O20,Q20,S20,U20,W20,Y20,AA20,AC20,AE20,AG20)</f>
        <v>27569.79</v>
      </c>
      <c r="H20" s="25">
        <f>IFERROR(G20/D20*100,0)</f>
        <v>25.211095380600835</v>
      </c>
      <c r="I20" s="25">
        <f>IFERROR(G20/E20*100,0)</f>
        <v>100.84453275815302</v>
      </c>
      <c r="J20" s="37">
        <f>J24+J29+J31</f>
        <v>9112.9679999999989</v>
      </c>
      <c r="K20" s="37">
        <f t="shared" ref="K20:AG20" si="19">K24+K29+K31</f>
        <v>0</v>
      </c>
      <c r="L20" s="37">
        <f t="shared" si="19"/>
        <v>9112.9679999999989</v>
      </c>
      <c r="M20" s="37">
        <f t="shared" si="19"/>
        <v>0</v>
      </c>
      <c r="N20" s="37">
        <f t="shared" si="19"/>
        <v>9112.9679999999989</v>
      </c>
      <c r="O20" s="37">
        <f t="shared" si="19"/>
        <v>19773.759999999998</v>
      </c>
      <c r="P20" s="37">
        <f t="shared" si="19"/>
        <v>9112.9679999999989</v>
      </c>
      <c r="Q20" s="37">
        <f t="shared" si="19"/>
        <v>7796.0300000000007</v>
      </c>
      <c r="R20" s="37">
        <f t="shared" si="19"/>
        <v>9113.0479999999989</v>
      </c>
      <c r="S20" s="37">
        <f t="shared" si="19"/>
        <v>0</v>
      </c>
      <c r="T20" s="37">
        <f t="shared" si="19"/>
        <v>9112.9679999999989</v>
      </c>
      <c r="U20" s="37">
        <f t="shared" si="19"/>
        <v>0</v>
      </c>
      <c r="V20" s="37">
        <f t="shared" si="19"/>
        <v>9112.9679999999989</v>
      </c>
      <c r="W20" s="37">
        <f t="shared" si="19"/>
        <v>0</v>
      </c>
      <c r="X20" s="37">
        <f t="shared" si="19"/>
        <v>9112.9679999999989</v>
      </c>
      <c r="Y20" s="37">
        <f t="shared" si="19"/>
        <v>0</v>
      </c>
      <c r="Z20" s="37">
        <f t="shared" si="19"/>
        <v>9112.9679999999989</v>
      </c>
      <c r="AA20" s="37">
        <f t="shared" si="19"/>
        <v>0</v>
      </c>
      <c r="AB20" s="37">
        <f t="shared" si="19"/>
        <v>9112.9679999999989</v>
      </c>
      <c r="AC20" s="37">
        <f t="shared" si="19"/>
        <v>0</v>
      </c>
      <c r="AD20" s="37">
        <f t="shared" si="19"/>
        <v>9112.9679999999989</v>
      </c>
      <c r="AE20" s="37">
        <f t="shared" si="19"/>
        <v>0</v>
      </c>
      <c r="AF20" s="37">
        <f t="shared" si="19"/>
        <v>9113.0519999999997</v>
      </c>
      <c r="AG20" s="37">
        <f t="shared" si="19"/>
        <v>0</v>
      </c>
      <c r="AH20" s="29"/>
      <c r="AI20" s="39"/>
    </row>
    <row r="21" spans="1:35" s="27" customFormat="1" ht="36" customHeight="1" x14ac:dyDescent="0.25">
      <c r="A21" s="100"/>
      <c r="B21" s="83"/>
      <c r="C21" s="24" t="s">
        <v>30</v>
      </c>
      <c r="D21" s="25">
        <f>SUM(J21,L21,N21,P21,R21,T21,V21,X21,Z21,AB21,AD21,AF21)</f>
        <v>713.9</v>
      </c>
      <c r="E21" s="25">
        <f t="shared" ref="E21:E22" si="20">J21+L21+N21</f>
        <v>178.458</v>
      </c>
      <c r="F21" s="25">
        <f>G21</f>
        <v>149.71</v>
      </c>
      <c r="G21" s="25">
        <f>SUM(K21,M21,O21,Q21,S21,U21,W21,Y21,AA21,AC21,AE21,AG21)</f>
        <v>149.71</v>
      </c>
      <c r="H21" s="25">
        <f>IFERROR(G21/D21*100,0)</f>
        <v>20.970724191063177</v>
      </c>
      <c r="I21" s="25">
        <f>IFERROR(G21/E21*100,0)</f>
        <v>83.890887491734759</v>
      </c>
      <c r="J21" s="38">
        <f>J25</f>
        <v>59.485999999999997</v>
      </c>
      <c r="K21" s="38">
        <f t="shared" ref="K21:AG22" si="21">K25</f>
        <v>0</v>
      </c>
      <c r="L21" s="38">
        <f t="shared" si="21"/>
        <v>59.485999999999997</v>
      </c>
      <c r="M21" s="38">
        <f t="shared" si="21"/>
        <v>0</v>
      </c>
      <c r="N21" s="38">
        <f t="shared" si="21"/>
        <v>59.485999999999997</v>
      </c>
      <c r="O21" s="38">
        <f t="shared" si="21"/>
        <v>137.78</v>
      </c>
      <c r="P21" s="38">
        <f t="shared" si="21"/>
        <v>59.485999999999997</v>
      </c>
      <c r="Q21" s="38">
        <f t="shared" si="21"/>
        <v>11.93</v>
      </c>
      <c r="R21" s="38">
        <f t="shared" si="21"/>
        <v>59.485999999999997</v>
      </c>
      <c r="S21" s="38">
        <f t="shared" si="21"/>
        <v>0</v>
      </c>
      <c r="T21" s="38">
        <f t="shared" si="21"/>
        <v>59.485999999999997</v>
      </c>
      <c r="U21" s="38">
        <f t="shared" si="21"/>
        <v>0</v>
      </c>
      <c r="V21" s="38">
        <f t="shared" si="21"/>
        <v>59.485999999999997</v>
      </c>
      <c r="W21" s="38">
        <f t="shared" si="21"/>
        <v>0</v>
      </c>
      <c r="X21" s="38">
        <f t="shared" si="21"/>
        <v>59.485999999999997</v>
      </c>
      <c r="Y21" s="38">
        <f t="shared" si="21"/>
        <v>0</v>
      </c>
      <c r="Z21" s="38">
        <f t="shared" si="21"/>
        <v>59.485999999999997</v>
      </c>
      <c r="AA21" s="38">
        <f t="shared" si="21"/>
        <v>0</v>
      </c>
      <c r="AB21" s="38">
        <f t="shared" si="21"/>
        <v>59.485999999999997</v>
      </c>
      <c r="AC21" s="38">
        <f t="shared" si="21"/>
        <v>0</v>
      </c>
      <c r="AD21" s="38">
        <f t="shared" si="21"/>
        <v>59.485999999999997</v>
      </c>
      <c r="AE21" s="38">
        <f t="shared" si="21"/>
        <v>0</v>
      </c>
      <c r="AF21" s="38">
        <f t="shared" si="21"/>
        <v>59.554000000000002</v>
      </c>
      <c r="AG21" s="38">
        <f t="shared" si="21"/>
        <v>0</v>
      </c>
      <c r="AH21" s="22"/>
      <c r="AI21" s="42"/>
    </row>
    <row r="22" spans="1:35" s="27" customFormat="1" ht="39" customHeight="1" x14ac:dyDescent="0.25">
      <c r="A22" s="77"/>
      <c r="B22" s="83"/>
      <c r="C22" s="24" t="s">
        <v>31</v>
      </c>
      <c r="D22" s="25">
        <f>SUM(J22,L22,N22,P22,R22,T22,V22,X22,Z22,AB22,AD22,AF22)</f>
        <v>11.9</v>
      </c>
      <c r="E22" s="25">
        <f t="shared" si="20"/>
        <v>2.9580000000000002</v>
      </c>
      <c r="F22" s="25">
        <f>G22</f>
        <v>2.48</v>
      </c>
      <c r="G22" s="25">
        <f>SUM(K22,M22,O22,Q22,S22,U22,W22,Y22,AA22,AC22,AE22,AG22)</f>
        <v>2.48</v>
      </c>
      <c r="H22" s="25">
        <f>IFERROR(G22/D22*100,0)</f>
        <v>20.840336134453779</v>
      </c>
      <c r="I22" s="25">
        <f>IFERROR(G22/E22*100,0)</f>
        <v>83.840432724814065</v>
      </c>
      <c r="J22" s="38">
        <f>J26</f>
        <v>0.98599999999999999</v>
      </c>
      <c r="K22" s="38">
        <f t="shared" si="21"/>
        <v>0</v>
      </c>
      <c r="L22" s="38">
        <f t="shared" si="21"/>
        <v>0.98599999999999999</v>
      </c>
      <c r="M22" s="38">
        <f t="shared" si="21"/>
        <v>0</v>
      </c>
      <c r="N22" s="38">
        <f t="shared" si="21"/>
        <v>0.98599999999999999</v>
      </c>
      <c r="O22" s="38">
        <f t="shared" si="21"/>
        <v>2.27</v>
      </c>
      <c r="P22" s="38">
        <f t="shared" si="21"/>
        <v>0.98599999999999999</v>
      </c>
      <c r="Q22" s="38">
        <f t="shared" si="21"/>
        <v>0.21</v>
      </c>
      <c r="R22" s="38">
        <f t="shared" si="21"/>
        <v>0.98599999999999999</v>
      </c>
      <c r="S22" s="38">
        <f t="shared" si="21"/>
        <v>0</v>
      </c>
      <c r="T22" s="38">
        <f t="shared" si="21"/>
        <v>0.98599999999999999</v>
      </c>
      <c r="U22" s="38">
        <f t="shared" si="21"/>
        <v>0</v>
      </c>
      <c r="V22" s="38">
        <f t="shared" si="21"/>
        <v>0.98599999999999999</v>
      </c>
      <c r="W22" s="38">
        <f t="shared" si="21"/>
        <v>0</v>
      </c>
      <c r="X22" s="38">
        <f t="shared" si="21"/>
        <v>0.98599999999999999</v>
      </c>
      <c r="Y22" s="38">
        <f t="shared" si="21"/>
        <v>0</v>
      </c>
      <c r="Z22" s="38">
        <f t="shared" si="21"/>
        <v>0.98599999999999999</v>
      </c>
      <c r="AA22" s="38">
        <f t="shared" si="21"/>
        <v>0</v>
      </c>
      <c r="AB22" s="38">
        <f t="shared" si="21"/>
        <v>0.98599999999999999</v>
      </c>
      <c r="AC22" s="38">
        <f t="shared" si="21"/>
        <v>0</v>
      </c>
      <c r="AD22" s="38">
        <f t="shared" si="21"/>
        <v>0.98599999999999999</v>
      </c>
      <c r="AE22" s="38">
        <f t="shared" si="21"/>
        <v>0</v>
      </c>
      <c r="AF22" s="38">
        <f t="shared" si="21"/>
        <v>1.054</v>
      </c>
      <c r="AG22" s="38">
        <f t="shared" si="21"/>
        <v>0</v>
      </c>
      <c r="AH22" s="22"/>
      <c r="AI22" s="42"/>
    </row>
    <row r="23" spans="1:35" s="30" customFormat="1" ht="30.75" customHeight="1" x14ac:dyDescent="0.25">
      <c r="A23" s="101"/>
      <c r="B23" s="72" t="s">
        <v>40</v>
      </c>
      <c r="C23" s="31" t="s">
        <v>28</v>
      </c>
      <c r="D23" s="20">
        <f>D26+D25+D24</f>
        <v>1182.2</v>
      </c>
      <c r="E23" s="20">
        <f t="shared" ref="E23:G23" si="22">E26+E25+E24</f>
        <v>394</v>
      </c>
      <c r="F23" s="20">
        <f t="shared" si="22"/>
        <v>247.91</v>
      </c>
      <c r="G23" s="20">
        <f t="shared" si="22"/>
        <v>247.91</v>
      </c>
      <c r="H23" s="40">
        <f t="shared" ref="H23" si="23">IFERROR(G23/D23*100,0)</f>
        <v>20.970225004229402</v>
      </c>
      <c r="I23" s="40">
        <f t="shared" ref="I23" si="24">IFERROR(G23/E23*100,0)</f>
        <v>62.921319796954315</v>
      </c>
      <c r="J23" s="41">
        <f>J26+J25+J24</f>
        <v>98.5</v>
      </c>
      <c r="K23" s="41">
        <f t="shared" ref="K23:AG23" si="25">K26+K25+K24</f>
        <v>0</v>
      </c>
      <c r="L23" s="41">
        <f t="shared" si="25"/>
        <v>98.5</v>
      </c>
      <c r="M23" s="41">
        <f t="shared" si="25"/>
        <v>0</v>
      </c>
      <c r="N23" s="41">
        <f t="shared" si="25"/>
        <v>98.5</v>
      </c>
      <c r="O23" s="41">
        <f t="shared" si="25"/>
        <v>228.14000000000001</v>
      </c>
      <c r="P23" s="41">
        <f t="shared" si="25"/>
        <v>98.5</v>
      </c>
      <c r="Q23" s="41">
        <f t="shared" si="25"/>
        <v>19.77</v>
      </c>
      <c r="R23" s="41">
        <f t="shared" si="25"/>
        <v>98.5</v>
      </c>
      <c r="S23" s="41">
        <f t="shared" si="25"/>
        <v>0</v>
      </c>
      <c r="T23" s="41">
        <f t="shared" si="25"/>
        <v>98.5</v>
      </c>
      <c r="U23" s="41">
        <f t="shared" si="25"/>
        <v>0</v>
      </c>
      <c r="V23" s="41">
        <f t="shared" si="25"/>
        <v>98.5</v>
      </c>
      <c r="W23" s="41">
        <f t="shared" si="25"/>
        <v>0</v>
      </c>
      <c r="X23" s="41">
        <f t="shared" si="25"/>
        <v>98.5</v>
      </c>
      <c r="Y23" s="41">
        <f t="shared" si="25"/>
        <v>0</v>
      </c>
      <c r="Z23" s="41">
        <f t="shared" si="25"/>
        <v>98.5</v>
      </c>
      <c r="AA23" s="41">
        <f t="shared" si="25"/>
        <v>0</v>
      </c>
      <c r="AB23" s="41">
        <f t="shared" si="25"/>
        <v>98.5</v>
      </c>
      <c r="AC23" s="41">
        <f t="shared" si="25"/>
        <v>0</v>
      </c>
      <c r="AD23" s="41">
        <f t="shared" si="25"/>
        <v>98.5</v>
      </c>
      <c r="AE23" s="41">
        <f t="shared" si="25"/>
        <v>0</v>
      </c>
      <c r="AF23" s="41">
        <f t="shared" si="25"/>
        <v>98.7</v>
      </c>
      <c r="AG23" s="41">
        <f t="shared" si="25"/>
        <v>0</v>
      </c>
      <c r="AH23" s="33"/>
      <c r="AI23" s="39"/>
    </row>
    <row r="24" spans="1:35" s="30" customFormat="1" ht="22.5" customHeight="1" x14ac:dyDescent="0.25">
      <c r="A24" s="102"/>
      <c r="B24" s="73"/>
      <c r="C24" s="36" t="s">
        <v>29</v>
      </c>
      <c r="D24" s="25">
        <f>SUM(J24,L24,N24,P24,R24,T24,V24,X24,Z24,AB24,AD24,AF24)</f>
        <v>456.40000000000003</v>
      </c>
      <c r="E24" s="32">
        <f>J24+L24+N24+P24</f>
        <v>152.11199999999999</v>
      </c>
      <c r="F24" s="32">
        <f>G24</f>
        <v>95.72</v>
      </c>
      <c r="G24" s="32">
        <f>SUM(K24,M24,O24,Q24,S24,U24,W24,Y24,AA24,AC24,AE24,AG24)</f>
        <v>95.72</v>
      </c>
      <c r="H24" s="32">
        <f>IFERROR(G24/D24*100,0)</f>
        <v>20.972830850131462</v>
      </c>
      <c r="I24" s="32">
        <f>IFERROR(G24/E24*100,0)</f>
        <v>62.927316714000213</v>
      </c>
      <c r="J24" s="37">
        <v>38.027999999999999</v>
      </c>
      <c r="K24" s="37">
        <v>0</v>
      </c>
      <c r="L24" s="37">
        <v>38.027999999999999</v>
      </c>
      <c r="M24" s="37">
        <v>0</v>
      </c>
      <c r="N24" s="37">
        <v>38.027999999999999</v>
      </c>
      <c r="O24" s="37">
        <v>88.09</v>
      </c>
      <c r="P24" s="37">
        <v>38.027999999999999</v>
      </c>
      <c r="Q24" s="37">
        <v>7.63</v>
      </c>
      <c r="R24" s="37">
        <v>38.027999999999999</v>
      </c>
      <c r="S24" s="37">
        <v>0</v>
      </c>
      <c r="T24" s="37">
        <v>38.027999999999999</v>
      </c>
      <c r="U24" s="37">
        <v>0</v>
      </c>
      <c r="V24" s="37">
        <v>38.027999999999999</v>
      </c>
      <c r="W24" s="37">
        <v>0</v>
      </c>
      <c r="X24" s="37">
        <v>38.027999999999999</v>
      </c>
      <c r="Y24" s="37">
        <v>0</v>
      </c>
      <c r="Z24" s="37">
        <v>38.027999999999999</v>
      </c>
      <c r="AA24" s="37">
        <v>0</v>
      </c>
      <c r="AB24" s="37">
        <v>38.027999999999999</v>
      </c>
      <c r="AC24" s="37">
        <v>0</v>
      </c>
      <c r="AD24" s="37">
        <v>38.027999999999999</v>
      </c>
      <c r="AE24" s="37">
        <v>0</v>
      </c>
      <c r="AF24" s="37">
        <v>38.091999999999999</v>
      </c>
      <c r="AG24" s="37">
        <v>0</v>
      </c>
      <c r="AH24" s="33"/>
      <c r="AI24" s="39"/>
    </row>
    <row r="25" spans="1:35" s="30" customFormat="1" ht="39.75" customHeight="1" x14ac:dyDescent="0.25">
      <c r="A25" s="102"/>
      <c r="B25" s="73"/>
      <c r="C25" s="24" t="s">
        <v>30</v>
      </c>
      <c r="D25" s="25">
        <f>SUM(J25,L25,N25,P25,R25,T25,V25,X25,Z25,AB25,AD25,AF25)</f>
        <v>713.9</v>
      </c>
      <c r="E25" s="32">
        <f t="shared" ref="E25:E26" si="26">J25+L25+N25+P25</f>
        <v>237.94399999999999</v>
      </c>
      <c r="F25" s="32">
        <f>G25</f>
        <v>149.71</v>
      </c>
      <c r="G25" s="32">
        <f>SUM(K25,M25,O25,Q25,S25,U25,W25,Y25,AA25,AC25,AE25,AG25)</f>
        <v>149.71</v>
      </c>
      <c r="H25" s="32">
        <f>IFERROR(G25/D25*100,0)</f>
        <v>20.970724191063177</v>
      </c>
      <c r="I25" s="32">
        <f>IFERROR(G25/E25*100,0)</f>
        <v>62.918165618801069</v>
      </c>
      <c r="J25" s="37">
        <v>59.485999999999997</v>
      </c>
      <c r="K25" s="37">
        <v>0</v>
      </c>
      <c r="L25" s="37">
        <v>59.485999999999997</v>
      </c>
      <c r="M25" s="37">
        <v>0</v>
      </c>
      <c r="N25" s="37">
        <v>59.485999999999997</v>
      </c>
      <c r="O25" s="37">
        <v>137.78</v>
      </c>
      <c r="P25" s="37">
        <v>59.485999999999997</v>
      </c>
      <c r="Q25" s="37">
        <v>11.93</v>
      </c>
      <c r="R25" s="37">
        <v>59.485999999999997</v>
      </c>
      <c r="S25" s="37">
        <v>0</v>
      </c>
      <c r="T25" s="37">
        <v>59.485999999999997</v>
      </c>
      <c r="U25" s="37">
        <v>0</v>
      </c>
      <c r="V25" s="37">
        <v>59.485999999999997</v>
      </c>
      <c r="W25" s="37">
        <v>0</v>
      </c>
      <c r="X25" s="37">
        <v>59.485999999999997</v>
      </c>
      <c r="Y25" s="37">
        <v>0</v>
      </c>
      <c r="Z25" s="37">
        <v>59.485999999999997</v>
      </c>
      <c r="AA25" s="37">
        <v>0</v>
      </c>
      <c r="AB25" s="37">
        <v>59.485999999999997</v>
      </c>
      <c r="AC25" s="37">
        <v>0</v>
      </c>
      <c r="AD25" s="37">
        <v>59.485999999999997</v>
      </c>
      <c r="AE25" s="37">
        <v>0</v>
      </c>
      <c r="AF25" s="37">
        <v>59.554000000000002</v>
      </c>
      <c r="AG25" s="37">
        <v>0</v>
      </c>
      <c r="AH25" s="33"/>
      <c r="AI25" s="39"/>
    </row>
    <row r="26" spans="1:35" s="30" customFormat="1" ht="33" customHeight="1" x14ac:dyDescent="0.25">
      <c r="A26" s="97"/>
      <c r="B26" s="73"/>
      <c r="C26" s="24" t="s">
        <v>31</v>
      </c>
      <c r="D26" s="25">
        <f>SUM(J26,L26,N26,P26,R26,T26,V26,X26,Z26,AB26,AD26,AF26)</f>
        <v>11.9</v>
      </c>
      <c r="E26" s="32">
        <f t="shared" si="26"/>
        <v>3.944</v>
      </c>
      <c r="F26" s="32">
        <f>G26</f>
        <v>2.48</v>
      </c>
      <c r="G26" s="32">
        <f>SUM(K26,M26,O26,Q26,S26,U26,W26,Y26,AA26,AC26,AE26,AG26)</f>
        <v>2.48</v>
      </c>
      <c r="H26" s="32">
        <f>IFERROR(G26/D26*100,0)</f>
        <v>20.840336134453779</v>
      </c>
      <c r="I26" s="32">
        <f>IFERROR(G26/E26*100,0)</f>
        <v>62.880324543610541</v>
      </c>
      <c r="J26" s="37">
        <v>0.98599999999999999</v>
      </c>
      <c r="K26" s="37">
        <v>0</v>
      </c>
      <c r="L26" s="37">
        <v>0.98599999999999999</v>
      </c>
      <c r="M26" s="37">
        <v>0</v>
      </c>
      <c r="N26" s="37">
        <v>0.98599999999999999</v>
      </c>
      <c r="O26" s="37">
        <v>2.27</v>
      </c>
      <c r="P26" s="37">
        <v>0.98599999999999999</v>
      </c>
      <c r="Q26" s="37">
        <v>0.21</v>
      </c>
      <c r="R26" s="37">
        <v>0.98599999999999999</v>
      </c>
      <c r="S26" s="37">
        <v>0</v>
      </c>
      <c r="T26" s="37">
        <v>0.98599999999999999</v>
      </c>
      <c r="U26" s="37">
        <v>0</v>
      </c>
      <c r="V26" s="37">
        <v>0.98599999999999999</v>
      </c>
      <c r="W26" s="37">
        <v>0</v>
      </c>
      <c r="X26" s="37">
        <v>0.98599999999999999</v>
      </c>
      <c r="Y26" s="37">
        <v>0</v>
      </c>
      <c r="Z26" s="37">
        <v>0.98599999999999999</v>
      </c>
      <c r="AA26" s="37">
        <v>0</v>
      </c>
      <c r="AB26" s="37">
        <v>0.98599999999999999</v>
      </c>
      <c r="AC26" s="37">
        <v>0</v>
      </c>
      <c r="AD26" s="37">
        <v>0.98599999999999999</v>
      </c>
      <c r="AE26" s="37">
        <v>0</v>
      </c>
      <c r="AF26" s="37">
        <v>1.054</v>
      </c>
      <c r="AG26" s="37">
        <v>0</v>
      </c>
      <c r="AH26" s="33"/>
      <c r="AI26" s="39"/>
    </row>
    <row r="27" spans="1:35" s="30" customFormat="1" ht="78.75" customHeight="1" x14ac:dyDescent="0.25">
      <c r="A27" s="77"/>
      <c r="B27" s="71" t="s">
        <v>41</v>
      </c>
      <c r="C27" s="31" t="s">
        <v>28</v>
      </c>
      <c r="D27" s="20">
        <f>D29+D28</f>
        <v>107805.68000000001</v>
      </c>
      <c r="E27" s="40">
        <f t="shared" ref="E27:G27" si="27">E29+E28</f>
        <v>35935.199999999997</v>
      </c>
      <c r="F27" s="40">
        <f t="shared" si="27"/>
        <v>27154.469999999998</v>
      </c>
      <c r="G27" s="40">
        <f t="shared" si="27"/>
        <v>27154.469999999998</v>
      </c>
      <c r="H27" s="40">
        <f t="shared" ref="H27" si="28">IFERROR(G27/D27*100,0)</f>
        <v>25.188348146405641</v>
      </c>
      <c r="I27" s="40">
        <f t="shared" ref="I27" si="29">IFERROR(G27/E27*100,0)</f>
        <v>75.565100514259001</v>
      </c>
      <c r="J27" s="41">
        <f>J29+J28</f>
        <v>8983.7999999999993</v>
      </c>
      <c r="K27" s="41">
        <f t="shared" ref="K27:AG27" si="30">K29+K28</f>
        <v>0</v>
      </c>
      <c r="L27" s="41">
        <f t="shared" si="30"/>
        <v>8983.7999999999993</v>
      </c>
      <c r="M27" s="41">
        <f t="shared" si="30"/>
        <v>0</v>
      </c>
      <c r="N27" s="41">
        <f t="shared" si="30"/>
        <v>8983.7999999999993</v>
      </c>
      <c r="O27" s="41">
        <f t="shared" si="30"/>
        <v>19445.669999999998</v>
      </c>
      <c r="P27" s="41">
        <f t="shared" si="30"/>
        <v>8983.7999999999993</v>
      </c>
      <c r="Q27" s="41">
        <f t="shared" si="30"/>
        <v>7708.8</v>
      </c>
      <c r="R27" s="41">
        <f t="shared" si="30"/>
        <v>8983.8799999999992</v>
      </c>
      <c r="S27" s="41">
        <f t="shared" si="30"/>
        <v>0</v>
      </c>
      <c r="T27" s="41">
        <f t="shared" si="30"/>
        <v>8983.7999999999993</v>
      </c>
      <c r="U27" s="41">
        <f t="shared" si="30"/>
        <v>0</v>
      </c>
      <c r="V27" s="41">
        <f t="shared" si="30"/>
        <v>8983.7999999999993</v>
      </c>
      <c r="W27" s="41">
        <f t="shared" si="30"/>
        <v>0</v>
      </c>
      <c r="X27" s="41">
        <f t="shared" si="30"/>
        <v>8983.7999999999993</v>
      </c>
      <c r="Y27" s="41">
        <f t="shared" si="30"/>
        <v>0</v>
      </c>
      <c r="Z27" s="41">
        <f t="shared" si="30"/>
        <v>8983.7999999999993</v>
      </c>
      <c r="AA27" s="41">
        <f t="shared" si="30"/>
        <v>0</v>
      </c>
      <c r="AB27" s="41">
        <f t="shared" si="30"/>
        <v>8983.7999999999993</v>
      </c>
      <c r="AC27" s="41">
        <f t="shared" si="30"/>
        <v>0</v>
      </c>
      <c r="AD27" s="41">
        <f t="shared" si="30"/>
        <v>8983.7999999999993</v>
      </c>
      <c r="AE27" s="41">
        <f t="shared" si="30"/>
        <v>0</v>
      </c>
      <c r="AF27" s="41">
        <f t="shared" si="30"/>
        <v>8983.7999999999993</v>
      </c>
      <c r="AG27" s="41">
        <f t="shared" si="30"/>
        <v>0</v>
      </c>
      <c r="AH27" s="33"/>
      <c r="AI27" s="39"/>
    </row>
    <row r="28" spans="1:35" s="30" customFormat="1" ht="27" hidden="1" customHeight="1" x14ac:dyDescent="0.25">
      <c r="A28" s="77"/>
      <c r="B28" s="71"/>
      <c r="C28" s="36" t="s">
        <v>30</v>
      </c>
      <c r="D28" s="25">
        <f>SUM(J28,L28,N28,P28,R28,T28,V28,X28,Z28,AB28,AD28,AF28)</f>
        <v>0</v>
      </c>
      <c r="E28" s="32">
        <f>J28</f>
        <v>0</v>
      </c>
      <c r="F28" s="32">
        <f>G28</f>
        <v>0</v>
      </c>
      <c r="G28" s="32">
        <f>SUM(K28,M28,O28,Q28,S28,U28,W28,Y28,AA28,AC28,AE28,AG28)</f>
        <v>0</v>
      </c>
      <c r="H28" s="32">
        <f>IFERROR(G28/D28*100,0)</f>
        <v>0</v>
      </c>
      <c r="I28" s="32">
        <f>IFERROR(G28/E28*100,0)</f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3"/>
      <c r="AI28" s="39"/>
    </row>
    <row r="29" spans="1:35" s="30" customFormat="1" ht="112.5" customHeight="1" x14ac:dyDescent="0.25">
      <c r="A29" s="78"/>
      <c r="B29" s="71"/>
      <c r="C29" s="36" t="s">
        <v>29</v>
      </c>
      <c r="D29" s="25">
        <f>SUM(J29,L29,N29,P29,R29,T29,V29,X29,Z29,AB29,AD29,AF29)</f>
        <v>107805.68000000001</v>
      </c>
      <c r="E29" s="32">
        <f>J29+L29+N29+P29</f>
        <v>35935.199999999997</v>
      </c>
      <c r="F29" s="32">
        <f>G29</f>
        <v>27154.469999999998</v>
      </c>
      <c r="G29" s="32">
        <f t="shared" ref="G29" si="31">SUM(K29,M29,O29,Q29,S29,U29,W29,Y29,AA29,AC29,AE29,AG29)</f>
        <v>27154.469999999998</v>
      </c>
      <c r="H29" s="32">
        <f>IFERROR(G29/D29*100,0)</f>
        <v>25.188348146405641</v>
      </c>
      <c r="I29" s="32">
        <f>IFERROR(G29/E29*100,0)</f>
        <v>75.565100514259001</v>
      </c>
      <c r="J29" s="37">
        <v>8983.7999999999993</v>
      </c>
      <c r="K29" s="37">
        <v>0</v>
      </c>
      <c r="L29" s="37">
        <v>8983.7999999999993</v>
      </c>
      <c r="M29" s="37">
        <v>0</v>
      </c>
      <c r="N29" s="37">
        <v>8983.7999999999993</v>
      </c>
      <c r="O29" s="37">
        <v>19445.669999999998</v>
      </c>
      <c r="P29" s="37">
        <v>8983.7999999999993</v>
      </c>
      <c r="Q29" s="37">
        <v>7708.8</v>
      </c>
      <c r="R29" s="37">
        <v>8983.8799999999992</v>
      </c>
      <c r="S29" s="37">
        <v>0</v>
      </c>
      <c r="T29" s="37">
        <v>8983.7999999999993</v>
      </c>
      <c r="U29" s="37">
        <v>0</v>
      </c>
      <c r="V29" s="37">
        <v>8983.7999999999993</v>
      </c>
      <c r="W29" s="37">
        <v>0</v>
      </c>
      <c r="X29" s="37">
        <v>8983.7999999999993</v>
      </c>
      <c r="Y29" s="37">
        <v>0</v>
      </c>
      <c r="Z29" s="37">
        <v>8983.7999999999993</v>
      </c>
      <c r="AA29" s="37">
        <v>0</v>
      </c>
      <c r="AB29" s="37">
        <v>8983.7999999999993</v>
      </c>
      <c r="AC29" s="37">
        <v>0</v>
      </c>
      <c r="AD29" s="37">
        <v>8983.7999999999993</v>
      </c>
      <c r="AE29" s="37">
        <v>0</v>
      </c>
      <c r="AF29" s="37">
        <v>8983.7999999999993</v>
      </c>
      <c r="AG29" s="37">
        <v>0</v>
      </c>
      <c r="AH29" s="33"/>
      <c r="AI29" s="39"/>
    </row>
    <row r="30" spans="1:35" s="30" customFormat="1" ht="63.75" customHeight="1" x14ac:dyDescent="0.25">
      <c r="A30" s="96"/>
      <c r="B30" s="72" t="s">
        <v>42</v>
      </c>
      <c r="C30" s="31" t="s">
        <v>28</v>
      </c>
      <c r="D30" s="20">
        <f>D32+D31</f>
        <v>1093.7</v>
      </c>
      <c r="E30" s="40">
        <f t="shared" ref="E30:G30" si="32">E32+E31</f>
        <v>364.56</v>
      </c>
      <c r="F30" s="40">
        <f t="shared" si="32"/>
        <v>319.60000000000002</v>
      </c>
      <c r="G30" s="40">
        <f t="shared" si="32"/>
        <v>319.60000000000002</v>
      </c>
      <c r="H30" s="40">
        <f t="shared" ref="H30" si="33">IFERROR(G30/D30*100,0)</f>
        <v>29.221907287190273</v>
      </c>
      <c r="I30" s="40">
        <f t="shared" ref="I30" si="34">IFERROR(G30/E30*100,0)</f>
        <v>87.667324994513933</v>
      </c>
      <c r="J30" s="41">
        <f>J32+J31</f>
        <v>91.14</v>
      </c>
      <c r="K30" s="41">
        <f t="shared" ref="K30:AG30" si="35">K32+K31</f>
        <v>0</v>
      </c>
      <c r="L30" s="41">
        <f t="shared" si="35"/>
        <v>91.14</v>
      </c>
      <c r="M30" s="41">
        <f t="shared" si="35"/>
        <v>0</v>
      </c>
      <c r="N30" s="41">
        <f t="shared" si="35"/>
        <v>91.14</v>
      </c>
      <c r="O30" s="41">
        <f t="shared" si="35"/>
        <v>240</v>
      </c>
      <c r="P30" s="41">
        <f t="shared" si="35"/>
        <v>91.14</v>
      </c>
      <c r="Q30" s="41">
        <f t="shared" si="35"/>
        <v>79.599999999999994</v>
      </c>
      <c r="R30" s="41">
        <f t="shared" si="35"/>
        <v>91.14</v>
      </c>
      <c r="S30" s="41">
        <f t="shared" si="35"/>
        <v>0</v>
      </c>
      <c r="T30" s="41">
        <f t="shared" si="35"/>
        <v>91.14</v>
      </c>
      <c r="U30" s="41">
        <f t="shared" si="35"/>
        <v>0</v>
      </c>
      <c r="V30" s="41">
        <f t="shared" si="35"/>
        <v>91.14</v>
      </c>
      <c r="W30" s="41">
        <f t="shared" si="35"/>
        <v>0</v>
      </c>
      <c r="X30" s="41">
        <f t="shared" si="35"/>
        <v>91.14</v>
      </c>
      <c r="Y30" s="41">
        <f t="shared" si="35"/>
        <v>0</v>
      </c>
      <c r="Z30" s="41">
        <f t="shared" si="35"/>
        <v>91.14</v>
      </c>
      <c r="AA30" s="41">
        <f t="shared" si="35"/>
        <v>0</v>
      </c>
      <c r="AB30" s="41">
        <f t="shared" si="35"/>
        <v>91.14</v>
      </c>
      <c r="AC30" s="41">
        <f t="shared" si="35"/>
        <v>0</v>
      </c>
      <c r="AD30" s="41">
        <f t="shared" si="35"/>
        <v>91.14</v>
      </c>
      <c r="AE30" s="41">
        <f t="shared" si="35"/>
        <v>0</v>
      </c>
      <c r="AF30" s="41">
        <f t="shared" si="35"/>
        <v>91.16</v>
      </c>
      <c r="AG30" s="41">
        <f t="shared" si="35"/>
        <v>0</v>
      </c>
      <c r="AH30" s="33"/>
      <c r="AI30" s="39"/>
    </row>
    <row r="31" spans="1:35" s="30" customFormat="1" ht="96.75" customHeight="1" x14ac:dyDescent="0.25">
      <c r="A31" s="97"/>
      <c r="B31" s="73"/>
      <c r="C31" s="36" t="s">
        <v>29</v>
      </c>
      <c r="D31" s="25">
        <f>SUM(J31,L31,N31,P31,R31,T31,V31,X31,Z31,AB31,AD31,AF31)</f>
        <v>1093.7</v>
      </c>
      <c r="E31" s="32">
        <f>J31+L31+N31+P31</f>
        <v>364.56</v>
      </c>
      <c r="F31" s="32">
        <f>G31</f>
        <v>319.60000000000002</v>
      </c>
      <c r="G31" s="32">
        <f>SUM(K31,M31,O31,Q31,S31,U31,W31,Y31,AA31,AC31,AE31,AG31)</f>
        <v>319.60000000000002</v>
      </c>
      <c r="H31" s="32">
        <f>IFERROR(G31/D31*100,0)</f>
        <v>29.221907287190273</v>
      </c>
      <c r="I31" s="32">
        <f>IFERROR(G31/E31*100,0)</f>
        <v>87.667324994513933</v>
      </c>
      <c r="J31" s="37">
        <v>91.14</v>
      </c>
      <c r="K31" s="37">
        <v>0</v>
      </c>
      <c r="L31" s="37">
        <v>91.14</v>
      </c>
      <c r="M31" s="37">
        <v>0</v>
      </c>
      <c r="N31" s="37">
        <v>91.14</v>
      </c>
      <c r="O31" s="37">
        <v>240</v>
      </c>
      <c r="P31" s="37">
        <v>91.14</v>
      </c>
      <c r="Q31" s="37">
        <v>79.599999999999994</v>
      </c>
      <c r="R31" s="37">
        <v>91.14</v>
      </c>
      <c r="S31" s="37">
        <v>0</v>
      </c>
      <c r="T31" s="37">
        <v>91.14</v>
      </c>
      <c r="U31" s="37">
        <v>0</v>
      </c>
      <c r="V31" s="37">
        <v>91.14</v>
      </c>
      <c r="W31" s="37">
        <v>0</v>
      </c>
      <c r="X31" s="37">
        <v>91.14</v>
      </c>
      <c r="Y31" s="37">
        <v>0</v>
      </c>
      <c r="Z31" s="37">
        <v>91.14</v>
      </c>
      <c r="AA31" s="37">
        <v>0</v>
      </c>
      <c r="AB31" s="37">
        <v>91.14</v>
      </c>
      <c r="AC31" s="37">
        <v>0</v>
      </c>
      <c r="AD31" s="37">
        <v>91.14</v>
      </c>
      <c r="AE31" s="37">
        <v>0</v>
      </c>
      <c r="AF31" s="37">
        <v>91.16</v>
      </c>
      <c r="AG31" s="37">
        <v>0</v>
      </c>
      <c r="AH31" s="37"/>
      <c r="AI31" s="39"/>
    </row>
    <row r="32" spans="1:35" s="30" customFormat="1" ht="12" hidden="1" customHeight="1" x14ac:dyDescent="0.25">
      <c r="A32" s="98"/>
      <c r="B32" s="73"/>
      <c r="C32" s="43" t="s">
        <v>31</v>
      </c>
      <c r="D32" s="44">
        <f>SUM(J32,L32,N32,P32,R32,T32,V32,X32,Z32,AB32,AD32,AF32)</f>
        <v>0</v>
      </c>
      <c r="E32" s="45">
        <f>J32</f>
        <v>0</v>
      </c>
      <c r="F32" s="45">
        <f>G32</f>
        <v>0</v>
      </c>
      <c r="G32" s="45">
        <f>SUM(K32,M32,O32,Q32,S32,U32,W32,Y32,AA32,AC32,AE32,AG32)</f>
        <v>0</v>
      </c>
      <c r="H32" s="45">
        <f>IFERROR(G32/D32*100,0)</f>
        <v>0</v>
      </c>
      <c r="I32" s="45">
        <f>IFERROR(G32/E32*100,0)</f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46">
        <v>0</v>
      </c>
      <c r="AB32" s="46">
        <v>0</v>
      </c>
      <c r="AC32" s="46">
        <v>0</v>
      </c>
      <c r="AD32" s="46">
        <v>0</v>
      </c>
      <c r="AE32" s="46">
        <v>0</v>
      </c>
      <c r="AF32" s="46">
        <v>0</v>
      </c>
      <c r="AG32" s="46">
        <v>0</v>
      </c>
      <c r="AH32" s="47"/>
      <c r="AI32" s="39"/>
    </row>
    <row r="33" spans="1:35" s="30" customFormat="1" ht="28.5" customHeight="1" x14ac:dyDescent="0.25">
      <c r="A33" s="99" t="s">
        <v>43</v>
      </c>
      <c r="B33" s="82" t="s">
        <v>44</v>
      </c>
      <c r="C33" s="31" t="s">
        <v>28</v>
      </c>
      <c r="D33" s="20">
        <f>D37+D36+D34+D35</f>
        <v>3302041.8810000001</v>
      </c>
      <c r="E33" s="20">
        <f t="shared" ref="E33:G33" si="36">E37+E36+E34+E35</f>
        <v>306156.929</v>
      </c>
      <c r="F33" s="20">
        <f t="shared" si="36"/>
        <v>1135353.4610000001</v>
      </c>
      <c r="G33" s="20">
        <f t="shared" si="36"/>
        <v>1135353.4610000001</v>
      </c>
      <c r="H33" s="40">
        <f t="shared" ref="H33:H35" si="37">IFERROR(G33/D33*100,0)</f>
        <v>34.383375557192096</v>
      </c>
      <c r="I33" s="40">
        <f t="shared" ref="I33:I35" si="38">IFERROR(G33/E33*100,0)</f>
        <v>370.84036108815297</v>
      </c>
      <c r="J33" s="41">
        <f>J37+J36+J34+J35</f>
        <v>306156.929</v>
      </c>
      <c r="K33" s="41">
        <f t="shared" ref="K33:AG33" si="39">K37+K36+K34+K35</f>
        <v>117626.914</v>
      </c>
      <c r="L33" s="41">
        <f t="shared" si="39"/>
        <v>438966.81900000002</v>
      </c>
      <c r="M33" s="41">
        <f t="shared" si="39"/>
        <v>159963.647</v>
      </c>
      <c r="N33" s="41">
        <f t="shared" si="39"/>
        <v>355312.79600000003</v>
      </c>
      <c r="O33" s="41">
        <f t="shared" si="39"/>
        <v>443442.96</v>
      </c>
      <c r="P33" s="41">
        <f t="shared" si="39"/>
        <v>312108.83400000003</v>
      </c>
      <c r="Q33" s="41">
        <f t="shared" si="39"/>
        <v>414319.94000000006</v>
      </c>
      <c r="R33" s="41">
        <f t="shared" si="39"/>
        <v>448280.43699999998</v>
      </c>
      <c r="S33" s="41">
        <f t="shared" si="39"/>
        <v>0</v>
      </c>
      <c r="T33" s="41">
        <f t="shared" si="39"/>
        <v>273246.43999999994</v>
      </c>
      <c r="U33" s="41">
        <f t="shared" si="39"/>
        <v>0</v>
      </c>
      <c r="V33" s="41">
        <f t="shared" si="39"/>
        <v>168726.73300000001</v>
      </c>
      <c r="W33" s="41">
        <f t="shared" si="39"/>
        <v>0</v>
      </c>
      <c r="X33" s="41">
        <f t="shared" si="39"/>
        <v>131459.32800000001</v>
      </c>
      <c r="Y33" s="41">
        <f t="shared" si="39"/>
        <v>0</v>
      </c>
      <c r="Z33" s="41">
        <f t="shared" si="39"/>
        <v>184077.77</v>
      </c>
      <c r="AA33" s="41">
        <f t="shared" si="39"/>
        <v>0</v>
      </c>
      <c r="AB33" s="41">
        <f t="shared" si="39"/>
        <v>192316.41499999998</v>
      </c>
      <c r="AC33" s="41">
        <f t="shared" si="39"/>
        <v>0</v>
      </c>
      <c r="AD33" s="41">
        <f t="shared" si="39"/>
        <v>171687.09599999999</v>
      </c>
      <c r="AE33" s="41">
        <f t="shared" si="39"/>
        <v>0</v>
      </c>
      <c r="AF33" s="41">
        <f t="shared" si="39"/>
        <v>319702.28400000004</v>
      </c>
      <c r="AG33" s="41">
        <f t="shared" si="39"/>
        <v>0</v>
      </c>
      <c r="AH33" s="33"/>
      <c r="AI33" s="39"/>
    </row>
    <row r="34" spans="1:35" s="30" customFormat="1" ht="28.5" customHeight="1" x14ac:dyDescent="0.25">
      <c r="A34" s="100"/>
      <c r="B34" s="83"/>
      <c r="C34" s="36" t="s">
        <v>29</v>
      </c>
      <c r="D34" s="25">
        <f t="shared" ref="D34:D35" si="40">SUM(J34,L34,N34,P34,R34,T34,V34,X34,Z34,AB34,AD34,AF34)</f>
        <v>24359.297000000006</v>
      </c>
      <c r="E34" s="25">
        <f t="shared" ref="E34:E35" si="41">J34</f>
        <v>0</v>
      </c>
      <c r="F34" s="25">
        <f t="shared" ref="F34:F35" si="42">G34</f>
        <v>7721.9000000000005</v>
      </c>
      <c r="G34" s="25">
        <f t="shared" ref="G34:G35" si="43">SUM(K34,M34,O34,Q34,S34,U34,W34,Y34,AA34,AC34,AE34,AG34)</f>
        <v>7721.9000000000005</v>
      </c>
      <c r="H34" s="25">
        <f t="shared" si="37"/>
        <v>31.700011703950238</v>
      </c>
      <c r="I34" s="25">
        <f t="shared" si="38"/>
        <v>0</v>
      </c>
      <c r="J34" s="37">
        <f>J66</f>
        <v>0</v>
      </c>
      <c r="K34" s="37">
        <f t="shared" ref="K34:AG34" si="44">K66</f>
        <v>0</v>
      </c>
      <c r="L34" s="37">
        <f t="shared" si="44"/>
        <v>2950.25</v>
      </c>
      <c r="M34" s="37">
        <f t="shared" si="44"/>
        <v>2950.25</v>
      </c>
      <c r="N34" s="37">
        <f t="shared" si="44"/>
        <v>2582.19</v>
      </c>
      <c r="O34" s="37">
        <f t="shared" si="44"/>
        <v>2582.19</v>
      </c>
      <c r="P34" s="37">
        <f t="shared" si="44"/>
        <v>2701.1570000000002</v>
      </c>
      <c r="Q34" s="37">
        <f t="shared" si="44"/>
        <v>2189.46</v>
      </c>
      <c r="R34" s="37">
        <f t="shared" si="44"/>
        <v>2562.4679999999998</v>
      </c>
      <c r="S34" s="37">
        <f t="shared" si="44"/>
        <v>0</v>
      </c>
      <c r="T34" s="37">
        <f t="shared" si="44"/>
        <v>3228.895</v>
      </c>
      <c r="U34" s="37">
        <f t="shared" si="44"/>
        <v>0</v>
      </c>
      <c r="V34" s="37">
        <f t="shared" si="44"/>
        <v>0</v>
      </c>
      <c r="W34" s="37">
        <f t="shared" si="44"/>
        <v>0</v>
      </c>
      <c r="X34" s="37">
        <f t="shared" si="44"/>
        <v>0</v>
      </c>
      <c r="Y34" s="37">
        <f t="shared" si="44"/>
        <v>0</v>
      </c>
      <c r="Z34" s="37">
        <f t="shared" si="44"/>
        <v>1758.44</v>
      </c>
      <c r="AA34" s="37">
        <f t="shared" si="44"/>
        <v>0</v>
      </c>
      <c r="AB34" s="37">
        <f t="shared" si="44"/>
        <v>3055.9409999999998</v>
      </c>
      <c r="AC34" s="37">
        <f t="shared" si="44"/>
        <v>0</v>
      </c>
      <c r="AD34" s="37">
        <f t="shared" si="44"/>
        <v>2831.2150000000001</v>
      </c>
      <c r="AE34" s="37">
        <f t="shared" si="44"/>
        <v>0</v>
      </c>
      <c r="AF34" s="37">
        <f t="shared" si="44"/>
        <v>2688.741</v>
      </c>
      <c r="AG34" s="37">
        <f t="shared" si="44"/>
        <v>0</v>
      </c>
      <c r="AH34" s="33"/>
      <c r="AI34" s="39"/>
    </row>
    <row r="35" spans="1:35" s="30" customFormat="1" ht="28.5" customHeight="1" x14ac:dyDescent="0.25">
      <c r="A35" s="100"/>
      <c r="B35" s="83"/>
      <c r="C35" s="36" t="s">
        <v>30</v>
      </c>
      <c r="D35" s="25">
        <f t="shared" si="40"/>
        <v>2618251.0929999999</v>
      </c>
      <c r="E35" s="25">
        <f t="shared" si="41"/>
        <v>206387.655</v>
      </c>
      <c r="F35" s="25">
        <f t="shared" si="42"/>
        <v>840674.35600000015</v>
      </c>
      <c r="G35" s="25">
        <f t="shared" si="43"/>
        <v>840674.35600000015</v>
      </c>
      <c r="H35" s="25">
        <f t="shared" si="37"/>
        <v>32.108240429941077</v>
      </c>
      <c r="I35" s="25">
        <f t="shared" si="38"/>
        <v>407.3278297580348</v>
      </c>
      <c r="J35" s="37">
        <f>J39+J67</f>
        <v>206387.655</v>
      </c>
      <c r="K35" s="37">
        <f t="shared" ref="K35:AG35" si="45">K39+K67</f>
        <v>44274.716</v>
      </c>
      <c r="L35" s="37">
        <f t="shared" si="45"/>
        <v>356087.23200000002</v>
      </c>
      <c r="M35" s="37">
        <f t="shared" si="45"/>
        <v>81316.7</v>
      </c>
      <c r="N35" s="37">
        <f t="shared" si="45"/>
        <v>281662.29600000003</v>
      </c>
      <c r="O35" s="37">
        <f t="shared" si="45"/>
        <v>368710.98000000004</v>
      </c>
      <c r="P35" s="37">
        <f t="shared" si="45"/>
        <v>244820.45600000001</v>
      </c>
      <c r="Q35" s="37">
        <f t="shared" si="45"/>
        <v>346371.96</v>
      </c>
      <c r="R35" s="37">
        <f t="shared" si="45"/>
        <v>383294.70999999996</v>
      </c>
      <c r="S35" s="37">
        <f t="shared" si="45"/>
        <v>0</v>
      </c>
      <c r="T35" s="37">
        <f t="shared" si="45"/>
        <v>221915.05199999997</v>
      </c>
      <c r="U35" s="37">
        <f t="shared" si="45"/>
        <v>0</v>
      </c>
      <c r="V35" s="37">
        <f t="shared" si="45"/>
        <v>125974.52100000001</v>
      </c>
      <c r="W35" s="37">
        <f t="shared" si="45"/>
        <v>0</v>
      </c>
      <c r="X35" s="37">
        <f t="shared" si="45"/>
        <v>98103.665999999997</v>
      </c>
      <c r="Y35" s="37">
        <f t="shared" si="45"/>
        <v>0</v>
      </c>
      <c r="Z35" s="37">
        <f t="shared" si="45"/>
        <v>143661.13699999999</v>
      </c>
      <c r="AA35" s="37">
        <f t="shared" si="45"/>
        <v>0</v>
      </c>
      <c r="AB35" s="37">
        <f t="shared" si="45"/>
        <v>146055.022</v>
      </c>
      <c r="AC35" s="37">
        <f t="shared" si="45"/>
        <v>0</v>
      </c>
      <c r="AD35" s="37">
        <f t="shared" si="45"/>
        <v>130488.723</v>
      </c>
      <c r="AE35" s="37">
        <f t="shared" si="45"/>
        <v>0</v>
      </c>
      <c r="AF35" s="37">
        <f t="shared" si="45"/>
        <v>279800.62300000002</v>
      </c>
      <c r="AG35" s="37">
        <f t="shared" si="45"/>
        <v>0</v>
      </c>
      <c r="AH35" s="33"/>
      <c r="AI35" s="39"/>
    </row>
    <row r="36" spans="1:35" s="27" customFormat="1" ht="45" customHeight="1" x14ac:dyDescent="0.25">
      <c r="A36" s="100"/>
      <c r="B36" s="83"/>
      <c r="C36" s="24" t="s">
        <v>31</v>
      </c>
      <c r="D36" s="25">
        <f>SUM(J36,L36,N36,P36,R36,T36,V36,X36,Z36,AB36,AD36,AF36)</f>
        <v>542436.59299999999</v>
      </c>
      <c r="E36" s="25">
        <f>J36</f>
        <v>68407.093999999997</v>
      </c>
      <c r="F36" s="25">
        <f>G36</f>
        <v>248181.03699999995</v>
      </c>
      <c r="G36" s="25">
        <f>SUM(K36,M36,O36,Q36,S36,U36,W36,Y36,AA36,AC36,AE36,AG36)</f>
        <v>248181.03699999995</v>
      </c>
      <c r="H36" s="25">
        <f>IFERROR(G36/D36*100,0)</f>
        <v>45.753004167253877</v>
      </c>
      <c r="I36" s="25">
        <f>IFERROR(G36/E36*100,0)</f>
        <v>362.80014613689036</v>
      </c>
      <c r="J36" s="38">
        <f>J40+J60+J68</f>
        <v>68407.093999999997</v>
      </c>
      <c r="K36" s="38">
        <f t="shared" ref="K36:AG36" si="46">K40+K60+K68</f>
        <v>67633.275999999998</v>
      </c>
      <c r="L36" s="38">
        <f t="shared" si="46"/>
        <v>66038.006999999998</v>
      </c>
      <c r="M36" s="38">
        <f t="shared" si="46"/>
        <v>64481.410999999993</v>
      </c>
      <c r="N36" s="38">
        <f t="shared" si="46"/>
        <v>60169.048999999999</v>
      </c>
      <c r="O36" s="38">
        <f t="shared" si="46"/>
        <v>60874.889999999992</v>
      </c>
      <c r="P36" s="38">
        <f t="shared" si="46"/>
        <v>54882.752999999997</v>
      </c>
      <c r="Q36" s="38">
        <f t="shared" si="46"/>
        <v>55191.46</v>
      </c>
      <c r="R36" s="38">
        <f t="shared" si="46"/>
        <v>53691.906000000003</v>
      </c>
      <c r="S36" s="38">
        <f t="shared" si="46"/>
        <v>0</v>
      </c>
      <c r="T36" s="38">
        <f t="shared" si="46"/>
        <v>41595.824999999997</v>
      </c>
      <c r="U36" s="38">
        <f t="shared" si="46"/>
        <v>0</v>
      </c>
      <c r="V36" s="38">
        <f t="shared" si="46"/>
        <v>36586.740000000005</v>
      </c>
      <c r="W36" s="38">
        <f t="shared" si="46"/>
        <v>0</v>
      </c>
      <c r="X36" s="38">
        <f t="shared" si="46"/>
        <v>27383.347000000002</v>
      </c>
      <c r="Y36" s="38">
        <f t="shared" si="46"/>
        <v>0</v>
      </c>
      <c r="Z36" s="38">
        <f t="shared" si="46"/>
        <v>32678.261999999999</v>
      </c>
      <c r="AA36" s="38">
        <f t="shared" si="46"/>
        <v>0</v>
      </c>
      <c r="AB36" s="38">
        <f t="shared" si="46"/>
        <v>36320.831999999995</v>
      </c>
      <c r="AC36" s="38">
        <f t="shared" si="46"/>
        <v>0</v>
      </c>
      <c r="AD36" s="38">
        <f t="shared" si="46"/>
        <v>32377.476999999999</v>
      </c>
      <c r="AE36" s="38">
        <f t="shared" si="46"/>
        <v>0</v>
      </c>
      <c r="AF36" s="38">
        <f t="shared" si="46"/>
        <v>32305.300999999999</v>
      </c>
      <c r="AG36" s="38">
        <f t="shared" si="46"/>
        <v>0</v>
      </c>
      <c r="AH36" s="22"/>
      <c r="AI36" s="42"/>
    </row>
    <row r="37" spans="1:35" s="27" customFormat="1" ht="31.5" customHeight="1" x14ac:dyDescent="0.25">
      <c r="A37" s="77"/>
      <c r="B37" s="83"/>
      <c r="C37" s="24" t="s">
        <v>32</v>
      </c>
      <c r="D37" s="25">
        <f>SUM(J37,L37,N37,P37,R37,T37,V37,X37,Z37,AB37,AD37,AF37)</f>
        <v>116994.898</v>
      </c>
      <c r="E37" s="25">
        <f>J37</f>
        <v>31362.18</v>
      </c>
      <c r="F37" s="25">
        <f>G37</f>
        <v>38776.167999999998</v>
      </c>
      <c r="G37" s="25">
        <f>SUM(K37,M37,O37,Q37,S37,U37,W37,Y37,AA37,AC37,AE37,AG37)</f>
        <v>38776.167999999998</v>
      </c>
      <c r="H37" s="25">
        <f>IFERROR(G37/D37*100,0)</f>
        <v>33.14346921350365</v>
      </c>
      <c r="I37" s="25">
        <f>IFERROR(G37/E37*100,0)</f>
        <v>123.63990003245947</v>
      </c>
      <c r="J37" s="38">
        <f>J41</f>
        <v>31362.18</v>
      </c>
      <c r="K37" s="38">
        <f>K41</f>
        <v>5718.9219999999996</v>
      </c>
      <c r="L37" s="38">
        <f t="shared" ref="L37:AG37" si="47">L41</f>
        <v>13891.33</v>
      </c>
      <c r="M37" s="38">
        <f t="shared" si="47"/>
        <v>11215.286</v>
      </c>
      <c r="N37" s="38">
        <f t="shared" si="47"/>
        <v>10899.261</v>
      </c>
      <c r="O37" s="38">
        <f t="shared" si="47"/>
        <v>11274.9</v>
      </c>
      <c r="P37" s="38">
        <f t="shared" si="47"/>
        <v>9704.4680000000008</v>
      </c>
      <c r="Q37" s="38">
        <f t="shared" si="47"/>
        <v>10567.06</v>
      </c>
      <c r="R37" s="38">
        <f t="shared" si="47"/>
        <v>8731.3529999999992</v>
      </c>
      <c r="S37" s="38">
        <f t="shared" si="47"/>
        <v>0</v>
      </c>
      <c r="T37" s="38">
        <f t="shared" si="47"/>
        <v>6506.6679999999997</v>
      </c>
      <c r="U37" s="38">
        <f t="shared" si="47"/>
        <v>0</v>
      </c>
      <c r="V37" s="38">
        <f t="shared" si="47"/>
        <v>6165.4719999999998</v>
      </c>
      <c r="W37" s="38">
        <f t="shared" si="47"/>
        <v>0</v>
      </c>
      <c r="X37" s="38">
        <f t="shared" si="47"/>
        <v>5972.3149999999996</v>
      </c>
      <c r="Y37" s="38">
        <f t="shared" si="47"/>
        <v>0</v>
      </c>
      <c r="Z37" s="38">
        <f t="shared" si="47"/>
        <v>5979.9309999999996</v>
      </c>
      <c r="AA37" s="38">
        <f t="shared" si="47"/>
        <v>0</v>
      </c>
      <c r="AB37" s="38">
        <f t="shared" si="47"/>
        <v>6884.62</v>
      </c>
      <c r="AC37" s="38">
        <f t="shared" si="47"/>
        <v>0</v>
      </c>
      <c r="AD37" s="38">
        <f t="shared" si="47"/>
        <v>5989.6809999999996</v>
      </c>
      <c r="AE37" s="38">
        <f t="shared" si="47"/>
        <v>0</v>
      </c>
      <c r="AF37" s="38">
        <f t="shared" si="47"/>
        <v>4907.6190000000024</v>
      </c>
      <c r="AG37" s="38">
        <f t="shared" si="47"/>
        <v>0</v>
      </c>
      <c r="AH37" s="22"/>
      <c r="AI37" s="42"/>
    </row>
    <row r="38" spans="1:35" s="30" customFormat="1" ht="37.5" customHeight="1" x14ac:dyDescent="0.25">
      <c r="A38" s="101"/>
      <c r="B38" s="103" t="s">
        <v>45</v>
      </c>
      <c r="C38" s="31" t="s">
        <v>28</v>
      </c>
      <c r="D38" s="20">
        <f>D41+D40</f>
        <v>619811.89400000009</v>
      </c>
      <c r="E38" s="40">
        <f t="shared" ref="E38:G38" si="48">E41+E40</f>
        <v>97073.19200000001</v>
      </c>
      <c r="F38" s="40">
        <f t="shared" si="48"/>
        <v>271540.66899999999</v>
      </c>
      <c r="G38" s="40">
        <f t="shared" si="48"/>
        <v>271540.66899999999</v>
      </c>
      <c r="H38" s="40">
        <f t="shared" ref="H38" si="49">IFERROR(G38/D38*100,0)</f>
        <v>43.810173962231183</v>
      </c>
      <c r="I38" s="40">
        <f t="shared" ref="I38" si="50">IFERROR(G38/E38*100,0)</f>
        <v>279.72776356215832</v>
      </c>
      <c r="J38" s="41">
        <f>J41+J40</f>
        <v>97073.19200000001</v>
      </c>
      <c r="K38" s="41">
        <f t="shared" ref="K38:AG38" si="51">K41+K40</f>
        <v>71429.932000000001</v>
      </c>
      <c r="L38" s="41">
        <f t="shared" si="51"/>
        <v>75005.451000000001</v>
      </c>
      <c r="M38" s="41">
        <f t="shared" si="51"/>
        <v>70823.536999999997</v>
      </c>
      <c r="N38" s="41">
        <f t="shared" si="51"/>
        <v>67103.057000000001</v>
      </c>
      <c r="O38" s="41">
        <f t="shared" si="51"/>
        <v>67485</v>
      </c>
      <c r="P38" s="41">
        <f t="shared" si="51"/>
        <v>60190.091</v>
      </c>
      <c r="Q38" s="41">
        <f t="shared" si="51"/>
        <v>61802.2</v>
      </c>
      <c r="R38" s="41">
        <f t="shared" si="51"/>
        <v>58358.153999999995</v>
      </c>
      <c r="S38" s="41">
        <f t="shared" si="51"/>
        <v>0</v>
      </c>
      <c r="T38" s="41">
        <f t="shared" si="51"/>
        <v>46785.954999999994</v>
      </c>
      <c r="U38" s="41">
        <f t="shared" si="51"/>
        <v>0</v>
      </c>
      <c r="V38" s="41">
        <f t="shared" si="51"/>
        <v>42659.302000000003</v>
      </c>
      <c r="W38" s="41">
        <f t="shared" si="51"/>
        <v>0</v>
      </c>
      <c r="X38" s="41">
        <f t="shared" si="51"/>
        <v>33328.752</v>
      </c>
      <c r="Y38" s="41">
        <f t="shared" si="51"/>
        <v>0</v>
      </c>
      <c r="Z38" s="41">
        <f t="shared" si="51"/>
        <v>35823.358</v>
      </c>
      <c r="AA38" s="41">
        <f t="shared" si="51"/>
        <v>0</v>
      </c>
      <c r="AB38" s="41">
        <f t="shared" si="51"/>
        <v>38653.220999999998</v>
      </c>
      <c r="AC38" s="41">
        <f t="shared" si="51"/>
        <v>0</v>
      </c>
      <c r="AD38" s="41">
        <f t="shared" si="51"/>
        <v>34208.644</v>
      </c>
      <c r="AE38" s="41">
        <f t="shared" si="51"/>
        <v>0</v>
      </c>
      <c r="AF38" s="41">
        <f t="shared" si="51"/>
        <v>30622.717000000004</v>
      </c>
      <c r="AG38" s="41">
        <f t="shared" si="51"/>
        <v>0</v>
      </c>
      <c r="AH38" s="33"/>
      <c r="AI38" s="39"/>
    </row>
    <row r="39" spans="1:35" s="30" customFormat="1" ht="39.75" customHeight="1" x14ac:dyDescent="0.25">
      <c r="A39" s="102"/>
      <c r="B39" s="104"/>
      <c r="C39" s="36" t="s">
        <v>30</v>
      </c>
      <c r="D39" s="25">
        <f>SUM(J39,L39,N39,P39,R39,T39,V39,X39,Z39,AB39,AD39,AF39)</f>
        <v>2439801.3939999994</v>
      </c>
      <c r="E39" s="32">
        <f>J39</f>
        <v>195560.851</v>
      </c>
      <c r="F39" s="32">
        <f>G39</f>
        <v>764163.91599999997</v>
      </c>
      <c r="G39" s="32">
        <f>SUM(K39,M39,O39,Q39,S39,U39,W39,Y39,AA39,AC39,AE39,AG39)</f>
        <v>764163.91599999997</v>
      </c>
      <c r="H39" s="32">
        <f>IFERROR(G39/D39*100,0)</f>
        <v>31.320742658777256</v>
      </c>
      <c r="I39" s="32">
        <f>IFERROR(G39/E39*100,0)</f>
        <v>390.75505761631194</v>
      </c>
      <c r="J39" s="37">
        <f>J47+J49+J51+J54+J56+J44</f>
        <v>195560.851</v>
      </c>
      <c r="K39" s="37">
        <f t="shared" ref="K39:AG39" si="52">K47+K49+K51+K54+K56</f>
        <v>39229.65</v>
      </c>
      <c r="L39" s="37">
        <f t="shared" si="52"/>
        <v>332116.91800000001</v>
      </c>
      <c r="M39" s="37">
        <f t="shared" si="52"/>
        <v>54997.305999999997</v>
      </c>
      <c r="N39" s="37">
        <f t="shared" si="52"/>
        <v>253332.861</v>
      </c>
      <c r="O39" s="37">
        <f t="shared" si="52"/>
        <v>337346.52</v>
      </c>
      <c r="P39" s="37">
        <f t="shared" si="52"/>
        <v>224573.44</v>
      </c>
      <c r="Q39" s="37">
        <f>Q47+Q49+Q51+Q54+Q56</f>
        <v>332590.44</v>
      </c>
      <c r="R39" s="37">
        <f t="shared" si="52"/>
        <v>362494.51799999998</v>
      </c>
      <c r="S39" s="37">
        <f t="shared" si="52"/>
        <v>0</v>
      </c>
      <c r="T39" s="37">
        <f t="shared" si="52"/>
        <v>215396.68099999998</v>
      </c>
      <c r="U39" s="37">
        <f t="shared" si="52"/>
        <v>0</v>
      </c>
      <c r="V39" s="37">
        <f t="shared" si="52"/>
        <v>125974.52100000001</v>
      </c>
      <c r="W39" s="37">
        <f t="shared" si="52"/>
        <v>0</v>
      </c>
      <c r="X39" s="37">
        <f t="shared" si="52"/>
        <v>98103.665999999997</v>
      </c>
      <c r="Y39" s="37">
        <f t="shared" si="52"/>
        <v>0</v>
      </c>
      <c r="Z39" s="37">
        <f t="shared" si="52"/>
        <v>131912.166</v>
      </c>
      <c r="AA39" s="37">
        <f t="shared" si="52"/>
        <v>0</v>
      </c>
      <c r="AB39" s="37">
        <f t="shared" si="52"/>
        <v>125310.558</v>
      </c>
      <c r="AC39" s="37">
        <f t="shared" si="52"/>
        <v>0</v>
      </c>
      <c r="AD39" s="37">
        <f t="shared" si="52"/>
        <v>110450.681</v>
      </c>
      <c r="AE39" s="37">
        <f t="shared" si="52"/>
        <v>0</v>
      </c>
      <c r="AF39" s="37">
        <f t="shared" si="52"/>
        <v>264574.533</v>
      </c>
      <c r="AG39" s="37">
        <f t="shared" si="52"/>
        <v>0</v>
      </c>
      <c r="AH39" s="33"/>
      <c r="AI39" s="39"/>
    </row>
    <row r="40" spans="1:35" s="30" customFormat="1" ht="42.75" customHeight="1" x14ac:dyDescent="0.25">
      <c r="A40" s="102"/>
      <c r="B40" s="104"/>
      <c r="C40" s="36" t="s">
        <v>31</v>
      </c>
      <c r="D40" s="25">
        <f>SUM(J40,L40,N40,P40,R40,T40,V40,X40,Z40,AB40,AD40,AF40)</f>
        <v>502816.99600000004</v>
      </c>
      <c r="E40" s="32">
        <f>J40</f>
        <v>65711.012000000002</v>
      </c>
      <c r="F40" s="32">
        <f>G40</f>
        <v>232764.50099999999</v>
      </c>
      <c r="G40" s="32">
        <f>SUM(K40,M40,O40,Q40,S40,U40,W40,Y40,AA40,AC40,AE40,AG40)</f>
        <v>232764.50099999999</v>
      </c>
      <c r="H40" s="32">
        <f>IFERROR(G40/D40*100,0)</f>
        <v>46.292090930036892</v>
      </c>
      <c r="I40" s="32">
        <f>IFERROR(G40/E40*100,0)</f>
        <v>354.22449588814732</v>
      </c>
      <c r="J40" s="37">
        <f>J43+J57</f>
        <v>65711.012000000002</v>
      </c>
      <c r="K40" s="37">
        <f t="shared" ref="K40:AG40" si="53">K43+K57</f>
        <v>65711.009999999995</v>
      </c>
      <c r="L40" s="37">
        <f t="shared" si="53"/>
        <v>61114.120999999999</v>
      </c>
      <c r="M40" s="37">
        <f t="shared" si="53"/>
        <v>59608.250999999997</v>
      </c>
      <c r="N40" s="37">
        <f t="shared" si="53"/>
        <v>56203.796000000002</v>
      </c>
      <c r="O40" s="37">
        <f t="shared" si="53"/>
        <v>56210.1</v>
      </c>
      <c r="P40" s="37">
        <f t="shared" si="53"/>
        <v>50485.623</v>
      </c>
      <c r="Q40" s="37">
        <f t="shared" si="53"/>
        <v>51235.14</v>
      </c>
      <c r="R40" s="37">
        <f t="shared" si="53"/>
        <v>49626.800999999999</v>
      </c>
      <c r="S40" s="37">
        <f t="shared" si="53"/>
        <v>0</v>
      </c>
      <c r="T40" s="37">
        <f t="shared" si="53"/>
        <v>40279.286999999997</v>
      </c>
      <c r="U40" s="37">
        <f t="shared" si="53"/>
        <v>0</v>
      </c>
      <c r="V40" s="37">
        <f t="shared" si="53"/>
        <v>36493.83</v>
      </c>
      <c r="W40" s="37">
        <f t="shared" si="53"/>
        <v>0</v>
      </c>
      <c r="X40" s="37">
        <f t="shared" si="53"/>
        <v>27356.437000000002</v>
      </c>
      <c r="Y40" s="37">
        <f t="shared" si="53"/>
        <v>0</v>
      </c>
      <c r="Z40" s="37">
        <f t="shared" si="53"/>
        <v>29843.427</v>
      </c>
      <c r="AA40" s="37">
        <f t="shared" si="53"/>
        <v>0</v>
      </c>
      <c r="AB40" s="37">
        <f t="shared" si="53"/>
        <v>31768.600999999999</v>
      </c>
      <c r="AC40" s="37">
        <f t="shared" si="53"/>
        <v>0</v>
      </c>
      <c r="AD40" s="37">
        <f t="shared" si="53"/>
        <v>28218.963</v>
      </c>
      <c r="AE40" s="37">
        <f t="shared" si="53"/>
        <v>0</v>
      </c>
      <c r="AF40" s="37">
        <f t="shared" si="53"/>
        <v>25715.098000000002</v>
      </c>
      <c r="AG40" s="37">
        <f t="shared" si="53"/>
        <v>0</v>
      </c>
      <c r="AH40" s="33"/>
      <c r="AI40" s="39"/>
    </row>
    <row r="41" spans="1:35" s="30" customFormat="1" ht="37.5" customHeight="1" x14ac:dyDescent="0.25">
      <c r="A41" s="97"/>
      <c r="B41" s="104"/>
      <c r="C41" s="36" t="s">
        <v>32</v>
      </c>
      <c r="D41" s="25">
        <f>SUM(J41,L41,N41,P41,R41,T41,V41,X41,Z41,AB41,AD41,AF41)</f>
        <v>116994.898</v>
      </c>
      <c r="E41" s="32">
        <f>J41</f>
        <v>31362.18</v>
      </c>
      <c r="F41" s="32">
        <f>G41</f>
        <v>38776.167999999998</v>
      </c>
      <c r="G41" s="32">
        <f>SUM(K41,M41,O41,Q41,S41,U41,W41,Y41,AA41,AC41,AE41,AG41)</f>
        <v>38776.167999999998</v>
      </c>
      <c r="H41" s="32">
        <f>IFERROR(G41/D41*100,0)</f>
        <v>33.14346921350365</v>
      </c>
      <c r="I41" s="32">
        <f>IFERROR(G41/E41*100,0)</f>
        <v>123.63990003245947</v>
      </c>
      <c r="J41" s="37">
        <f>J45</f>
        <v>31362.18</v>
      </c>
      <c r="K41" s="37">
        <f t="shared" ref="K41:AG41" si="54">K45</f>
        <v>5718.9219999999996</v>
      </c>
      <c r="L41" s="37">
        <f t="shared" si="54"/>
        <v>13891.33</v>
      </c>
      <c r="M41" s="37">
        <f t="shared" si="54"/>
        <v>11215.286</v>
      </c>
      <c r="N41" s="37">
        <f t="shared" si="54"/>
        <v>10899.261</v>
      </c>
      <c r="O41" s="37">
        <f t="shared" si="54"/>
        <v>11274.9</v>
      </c>
      <c r="P41" s="37">
        <f t="shared" si="54"/>
        <v>9704.4680000000008</v>
      </c>
      <c r="Q41" s="37">
        <f t="shared" si="54"/>
        <v>10567.06</v>
      </c>
      <c r="R41" s="37">
        <f t="shared" si="54"/>
        <v>8731.3529999999992</v>
      </c>
      <c r="S41" s="37">
        <f t="shared" si="54"/>
        <v>0</v>
      </c>
      <c r="T41" s="37">
        <f t="shared" si="54"/>
        <v>6506.6679999999997</v>
      </c>
      <c r="U41" s="37">
        <f t="shared" si="54"/>
        <v>0</v>
      </c>
      <c r="V41" s="37">
        <f t="shared" si="54"/>
        <v>6165.4719999999998</v>
      </c>
      <c r="W41" s="37">
        <f t="shared" si="54"/>
        <v>0</v>
      </c>
      <c r="X41" s="37">
        <f t="shared" si="54"/>
        <v>5972.3149999999996</v>
      </c>
      <c r="Y41" s="37">
        <f t="shared" si="54"/>
        <v>0</v>
      </c>
      <c r="Z41" s="37">
        <f t="shared" si="54"/>
        <v>5979.9309999999996</v>
      </c>
      <c r="AA41" s="37">
        <f t="shared" si="54"/>
        <v>0</v>
      </c>
      <c r="AB41" s="37">
        <f t="shared" si="54"/>
        <v>6884.62</v>
      </c>
      <c r="AC41" s="37">
        <f t="shared" si="54"/>
        <v>0</v>
      </c>
      <c r="AD41" s="37">
        <f t="shared" si="54"/>
        <v>5989.6809999999996</v>
      </c>
      <c r="AE41" s="37">
        <f t="shared" si="54"/>
        <v>0</v>
      </c>
      <c r="AF41" s="37">
        <f t="shared" si="54"/>
        <v>4907.6190000000024</v>
      </c>
      <c r="AG41" s="37">
        <f t="shared" si="54"/>
        <v>0</v>
      </c>
      <c r="AH41" s="33"/>
      <c r="AI41" s="39"/>
    </row>
    <row r="42" spans="1:35" s="30" customFormat="1" ht="23.25" customHeight="1" x14ac:dyDescent="0.25">
      <c r="A42" s="86"/>
      <c r="B42" s="89" t="s">
        <v>46</v>
      </c>
      <c r="C42" s="36" t="s">
        <v>28</v>
      </c>
      <c r="D42" s="25">
        <f>D45+D43+D44</f>
        <v>618993.49400000006</v>
      </c>
      <c r="E42" s="25">
        <f>E45+E43+E44</f>
        <v>299709.79099999997</v>
      </c>
      <c r="F42" s="25">
        <f t="shared" ref="F42:H42" si="55">F45+F43+F44</f>
        <v>271648.66899999999</v>
      </c>
      <c r="G42" s="25">
        <f t="shared" si="55"/>
        <v>271648.66899999999</v>
      </c>
      <c r="H42" s="25">
        <f t="shared" si="55"/>
        <v>111.49493280912571</v>
      </c>
      <c r="I42" s="25">
        <f>I45+I43+I44</f>
        <v>190.51058968151202</v>
      </c>
      <c r="J42" s="25">
        <f t="shared" ref="J42" si="56">J45+J43+J44</f>
        <v>97073.19200000001</v>
      </c>
      <c r="K42" s="37">
        <f t="shared" ref="K42:AG42" si="57">K45+K43</f>
        <v>71429.932000000001</v>
      </c>
      <c r="L42" s="37">
        <f t="shared" si="57"/>
        <v>75005.451000000001</v>
      </c>
      <c r="M42" s="37">
        <f t="shared" si="57"/>
        <v>70823.536999999997</v>
      </c>
      <c r="N42" s="37">
        <f t="shared" si="57"/>
        <v>67103.057000000001</v>
      </c>
      <c r="O42" s="37">
        <f t="shared" si="57"/>
        <v>67485</v>
      </c>
      <c r="P42" s="37">
        <f t="shared" si="57"/>
        <v>60190.091</v>
      </c>
      <c r="Q42" s="37">
        <f t="shared" si="57"/>
        <v>61802.2</v>
      </c>
      <c r="R42" s="37">
        <f t="shared" si="57"/>
        <v>58358.153999999995</v>
      </c>
      <c r="S42" s="37">
        <f t="shared" si="57"/>
        <v>0</v>
      </c>
      <c r="T42" s="37">
        <f t="shared" si="57"/>
        <v>46785.954999999994</v>
      </c>
      <c r="U42" s="37">
        <f t="shared" si="57"/>
        <v>0</v>
      </c>
      <c r="V42" s="37">
        <f t="shared" si="57"/>
        <v>42659.302000000003</v>
      </c>
      <c r="W42" s="37">
        <f t="shared" si="57"/>
        <v>0</v>
      </c>
      <c r="X42" s="37">
        <f t="shared" si="57"/>
        <v>33328.752</v>
      </c>
      <c r="Y42" s="37">
        <f t="shared" si="57"/>
        <v>0</v>
      </c>
      <c r="Z42" s="37">
        <f t="shared" si="57"/>
        <v>35823.358</v>
      </c>
      <c r="AA42" s="37">
        <f t="shared" si="57"/>
        <v>0</v>
      </c>
      <c r="AB42" s="37">
        <f t="shared" si="57"/>
        <v>38653.220999999998</v>
      </c>
      <c r="AC42" s="37">
        <f t="shared" si="57"/>
        <v>0</v>
      </c>
      <c r="AD42" s="37">
        <f t="shared" si="57"/>
        <v>34208.644</v>
      </c>
      <c r="AE42" s="37">
        <f t="shared" si="57"/>
        <v>0</v>
      </c>
      <c r="AF42" s="37">
        <f t="shared" si="57"/>
        <v>29466.317000000003</v>
      </c>
      <c r="AG42" s="37">
        <f t="shared" si="57"/>
        <v>0</v>
      </c>
      <c r="AH42" s="29"/>
      <c r="AI42" s="39"/>
    </row>
    <row r="43" spans="1:35" s="30" customFormat="1" ht="33.75" customHeight="1" x14ac:dyDescent="0.25">
      <c r="A43" s="87"/>
      <c r="B43" s="90"/>
      <c r="C43" s="36" t="s">
        <v>31</v>
      </c>
      <c r="D43" s="25">
        <f>SUM(J43,L43,N43,P43,R43,T43,V43,X43,Z43,AB43,AD43,AF43)</f>
        <v>501660.59600000002</v>
      </c>
      <c r="E43" s="32">
        <f>J43+L43+N43+P43</f>
        <v>233514.552</v>
      </c>
      <c r="F43" s="32">
        <f>G43</f>
        <v>232764.50099999999</v>
      </c>
      <c r="G43" s="32">
        <f>SUM(K43,M43,O43,Q43,S43,U43,W43,Y43,AA43,AC43,AE43,AG43)</f>
        <v>232764.50099999999</v>
      </c>
      <c r="H43" s="32">
        <f>IFERROR(G43/D43*100,0)</f>
        <v>46.398800873728575</v>
      </c>
      <c r="I43" s="32">
        <f>IFERROR(G43/E43*100,0)</f>
        <v>99.678799032618741</v>
      </c>
      <c r="J43" s="37">
        <v>65711.012000000002</v>
      </c>
      <c r="K43" s="37">
        <v>65711.009999999995</v>
      </c>
      <c r="L43" s="37">
        <f>105.68+61008.441</f>
        <v>61114.120999999999</v>
      </c>
      <c r="M43" s="37">
        <v>59608.250999999997</v>
      </c>
      <c r="N43" s="37">
        <v>56203.796000000002</v>
      </c>
      <c r="O43" s="37">
        <v>56210.1</v>
      </c>
      <c r="P43" s="37">
        <f>2178.32+48307.303</f>
        <v>50485.623</v>
      </c>
      <c r="Q43" s="37">
        <v>51235.14</v>
      </c>
      <c r="R43" s="37">
        <f>49626.801</f>
        <v>49626.800999999999</v>
      </c>
      <c r="S43" s="37">
        <v>0</v>
      </c>
      <c r="T43" s="37">
        <v>40279.286999999997</v>
      </c>
      <c r="U43" s="37">
        <v>0</v>
      </c>
      <c r="V43" s="37">
        <v>36493.83</v>
      </c>
      <c r="W43" s="37">
        <v>0</v>
      </c>
      <c r="X43" s="37">
        <v>27356.437000000002</v>
      </c>
      <c r="Y43" s="37">
        <v>0</v>
      </c>
      <c r="Z43" s="37">
        <v>29843.427</v>
      </c>
      <c r="AA43" s="37">
        <v>0</v>
      </c>
      <c r="AB43" s="37">
        <v>31768.600999999999</v>
      </c>
      <c r="AC43" s="37">
        <v>0</v>
      </c>
      <c r="AD43" s="37">
        <v>28218.963</v>
      </c>
      <c r="AE43" s="37">
        <v>0</v>
      </c>
      <c r="AF43" s="37">
        <f>26784.398-2225.7</f>
        <v>24558.698</v>
      </c>
      <c r="AG43" s="37">
        <v>0</v>
      </c>
      <c r="AH43" s="29"/>
      <c r="AI43" s="39"/>
    </row>
    <row r="44" spans="1:35" s="30" customFormat="1" ht="33.75" customHeight="1" x14ac:dyDescent="0.25">
      <c r="A44" s="87"/>
      <c r="B44" s="90"/>
      <c r="C44" s="36" t="s">
        <v>30</v>
      </c>
      <c r="D44" s="25">
        <f>SUM(J44,L44,N44,P44,R44,T44,V44,X44,Z44,AB44,AD44,AF44)</f>
        <v>338</v>
      </c>
      <c r="E44" s="32">
        <f t="shared" ref="E44" si="58">J44+L44+N44+P44</f>
        <v>338</v>
      </c>
      <c r="F44" s="32">
        <f>G44</f>
        <v>108</v>
      </c>
      <c r="G44" s="32">
        <f>SUM(K44,M44,O44,Q44,S44,U44,W44,Y44,AA44,AC44,AE44,AG44)</f>
        <v>108</v>
      </c>
      <c r="H44" s="32">
        <f>IFERROR(G44/D44*100,0)</f>
        <v>31.952662721893493</v>
      </c>
      <c r="I44" s="32">
        <f>IFERROR(G44/E44*100,0)</f>
        <v>31.952662721893493</v>
      </c>
      <c r="J44" s="37"/>
      <c r="K44" s="37"/>
      <c r="L44" s="37"/>
      <c r="M44" s="37"/>
      <c r="N44" s="37">
        <v>338</v>
      </c>
      <c r="O44" s="37">
        <v>108</v>
      </c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29"/>
      <c r="AI44" s="39"/>
    </row>
    <row r="45" spans="1:35" s="30" customFormat="1" ht="28.5" customHeight="1" x14ac:dyDescent="0.25">
      <c r="A45" s="88"/>
      <c r="B45" s="91"/>
      <c r="C45" s="36" t="s">
        <v>32</v>
      </c>
      <c r="D45" s="25">
        <f>SUM(J45,L45,N45,P45,R45,T45,V45,X45,Z45,AB45,AD45,AF45)</f>
        <v>116994.898</v>
      </c>
      <c r="E45" s="32">
        <f>J45+L45+N45+P45</f>
        <v>65857.239000000001</v>
      </c>
      <c r="F45" s="32">
        <f>G45</f>
        <v>38776.167999999998</v>
      </c>
      <c r="G45" s="32">
        <f>SUM(K45,M45,O45,Q45,S45,U45,W45,Y45,AA45,AC45,AE45,AG45)</f>
        <v>38776.167999999998</v>
      </c>
      <c r="H45" s="32">
        <f>IFERROR(G45/D45*100,0)</f>
        <v>33.14346921350365</v>
      </c>
      <c r="I45" s="32">
        <f>IFERROR(G45/E45*100,0)</f>
        <v>58.879127926999786</v>
      </c>
      <c r="J45" s="37">
        <v>31362.18</v>
      </c>
      <c r="K45" s="37">
        <v>5718.9219999999996</v>
      </c>
      <c r="L45" s="37">
        <v>13891.33</v>
      </c>
      <c r="M45" s="37">
        <v>11215.286</v>
      </c>
      <c r="N45" s="37">
        <v>10899.261</v>
      </c>
      <c r="O45" s="37">
        <v>11274.9</v>
      </c>
      <c r="P45" s="37">
        <v>9704.4680000000008</v>
      </c>
      <c r="Q45" s="37">
        <v>10567.06</v>
      </c>
      <c r="R45" s="37">
        <v>8731.3529999999992</v>
      </c>
      <c r="S45" s="37">
        <v>0</v>
      </c>
      <c r="T45" s="37">
        <v>6506.6679999999997</v>
      </c>
      <c r="U45" s="37">
        <v>0</v>
      </c>
      <c r="V45" s="37">
        <v>6165.4719999999998</v>
      </c>
      <c r="W45" s="37">
        <v>0</v>
      </c>
      <c r="X45" s="37">
        <v>5972.3149999999996</v>
      </c>
      <c r="Y45" s="37">
        <v>0</v>
      </c>
      <c r="Z45" s="37">
        <v>5979.9309999999996</v>
      </c>
      <c r="AA45" s="37">
        <v>0</v>
      </c>
      <c r="AB45" s="37">
        <v>6884.62</v>
      </c>
      <c r="AC45" s="37">
        <v>0</v>
      </c>
      <c r="AD45" s="37">
        <v>5989.6809999999996</v>
      </c>
      <c r="AE45" s="37">
        <v>0</v>
      </c>
      <c r="AF45" s="37">
        <f>22562.669-17655.05</f>
        <v>4907.6190000000024</v>
      </c>
      <c r="AG45" s="37">
        <v>0</v>
      </c>
      <c r="AH45" s="29"/>
      <c r="AI45" s="39"/>
    </row>
    <row r="46" spans="1:35" s="30" customFormat="1" ht="77.25" customHeight="1" x14ac:dyDescent="0.25">
      <c r="A46" s="48"/>
      <c r="B46" s="85" t="s">
        <v>47</v>
      </c>
      <c r="C46" s="36" t="s">
        <v>28</v>
      </c>
      <c r="D46" s="25">
        <f t="shared" ref="D46:E46" si="59">D47</f>
        <v>2337219.0960000004</v>
      </c>
      <c r="E46" s="32">
        <f t="shared" si="59"/>
        <v>960705.06400000001</v>
      </c>
      <c r="F46" s="32">
        <f t="shared" ref="F46:F49" si="60">G46</f>
        <v>719262.995</v>
      </c>
      <c r="G46" s="32">
        <f>G47</f>
        <v>719262.995</v>
      </c>
      <c r="H46" s="32">
        <f t="shared" ref="H46:H50" si="61">IFERROR(G46/D46*100,0)</f>
        <v>30.774307647536002</v>
      </c>
      <c r="I46" s="32">
        <f t="shared" ref="I46:I50" si="62">IFERROR(G46/E46*100,0)</f>
        <v>74.868242289186057</v>
      </c>
      <c r="J46" s="32">
        <f t="shared" ref="J46:AG46" si="63">J47</f>
        <v>189901.766</v>
      </c>
      <c r="K46" s="32">
        <f t="shared" si="63"/>
        <v>38211.910000000003</v>
      </c>
      <c r="L46" s="32">
        <f t="shared" si="63"/>
        <v>316255.65000000002</v>
      </c>
      <c r="M46" s="32">
        <f t="shared" si="63"/>
        <v>40344.345000000001</v>
      </c>
      <c r="N46" s="32">
        <f t="shared" si="63"/>
        <v>242332.639</v>
      </c>
      <c r="O46" s="32">
        <f t="shared" si="63"/>
        <v>325347.32</v>
      </c>
      <c r="P46" s="32">
        <f t="shared" si="63"/>
        <v>212215.00899999999</v>
      </c>
      <c r="Q46" s="32">
        <f t="shared" si="63"/>
        <v>315359.42</v>
      </c>
      <c r="R46" s="32">
        <f t="shared" si="63"/>
        <v>356506.087</v>
      </c>
      <c r="S46" s="32">
        <f t="shared" si="63"/>
        <v>0</v>
      </c>
      <c r="T46" s="32">
        <f t="shared" si="63"/>
        <v>210618.63699999999</v>
      </c>
      <c r="U46" s="32">
        <f t="shared" si="63"/>
        <v>0</v>
      </c>
      <c r="V46" s="32">
        <f t="shared" si="63"/>
        <v>122384.175</v>
      </c>
      <c r="W46" s="32">
        <f t="shared" si="63"/>
        <v>0</v>
      </c>
      <c r="X46" s="32">
        <f t="shared" si="63"/>
        <v>95421.072</v>
      </c>
      <c r="Y46" s="32">
        <f t="shared" si="63"/>
        <v>0</v>
      </c>
      <c r="Z46" s="32">
        <f t="shared" si="63"/>
        <v>130036.44100000001</v>
      </c>
      <c r="AA46" s="32">
        <f t="shared" si="63"/>
        <v>0</v>
      </c>
      <c r="AB46" s="32">
        <f t="shared" si="63"/>
        <v>123715.728</v>
      </c>
      <c r="AC46" s="32">
        <f t="shared" si="63"/>
        <v>0</v>
      </c>
      <c r="AD46" s="32">
        <f t="shared" si="63"/>
        <v>109478.251</v>
      </c>
      <c r="AE46" s="32">
        <f t="shared" si="63"/>
        <v>0</v>
      </c>
      <c r="AF46" s="32">
        <f t="shared" si="63"/>
        <v>228353.641</v>
      </c>
      <c r="AG46" s="32">
        <f t="shared" si="63"/>
        <v>0</v>
      </c>
      <c r="AH46" s="29"/>
      <c r="AI46" s="39"/>
    </row>
    <row r="47" spans="1:35" s="30" customFormat="1" ht="71.25" customHeight="1" x14ac:dyDescent="0.25">
      <c r="A47" s="48"/>
      <c r="B47" s="85"/>
      <c r="C47" s="36" t="s">
        <v>30</v>
      </c>
      <c r="D47" s="25">
        <f t="shared" ref="D47" si="64">SUM(J47,L47,N47,P47,R47,T47,V47,X47,Z47,AB47,AD47,AF47)</f>
        <v>2337219.0960000004</v>
      </c>
      <c r="E47" s="32">
        <f>J47+L47+N47+P47</f>
        <v>960705.06400000001</v>
      </c>
      <c r="F47" s="32">
        <f>G47</f>
        <v>719262.995</v>
      </c>
      <c r="G47" s="32">
        <f>SUM(K47,M47,O47,Q47,S47,U47,W47,Y47,AA47,AC47,AE47,AG47)</f>
        <v>719262.995</v>
      </c>
      <c r="H47" s="32">
        <f t="shared" si="61"/>
        <v>30.774307647536002</v>
      </c>
      <c r="I47" s="32">
        <f t="shared" si="62"/>
        <v>74.868242289186057</v>
      </c>
      <c r="J47" s="37">
        <v>189901.766</v>
      </c>
      <c r="K47" s="37">
        <v>38211.910000000003</v>
      </c>
      <c r="L47" s="37">
        <v>316255.65000000002</v>
      </c>
      <c r="M47" s="37">
        <v>40344.345000000001</v>
      </c>
      <c r="N47" s="37">
        <v>242332.639</v>
      </c>
      <c r="O47" s="37">
        <v>325347.32</v>
      </c>
      <c r="P47" s="37">
        <v>212215.00899999999</v>
      </c>
      <c r="Q47" s="37">
        <v>315359.42</v>
      </c>
      <c r="R47" s="37">
        <v>356506.087</v>
      </c>
      <c r="S47" s="37">
        <v>0</v>
      </c>
      <c r="T47" s="37">
        <v>210618.63699999999</v>
      </c>
      <c r="U47" s="37">
        <v>0</v>
      </c>
      <c r="V47" s="37">
        <v>122384.175</v>
      </c>
      <c r="W47" s="37">
        <v>0</v>
      </c>
      <c r="X47" s="37">
        <v>95421.072</v>
      </c>
      <c r="Y47" s="37">
        <v>0</v>
      </c>
      <c r="Z47" s="37">
        <v>130036.44100000001</v>
      </c>
      <c r="AA47" s="37">
        <v>0</v>
      </c>
      <c r="AB47" s="37">
        <v>123715.728</v>
      </c>
      <c r="AC47" s="37">
        <v>0</v>
      </c>
      <c r="AD47" s="37">
        <v>109478.251</v>
      </c>
      <c r="AE47" s="37">
        <v>0</v>
      </c>
      <c r="AF47" s="37">
        <v>228353.641</v>
      </c>
      <c r="AG47" s="37">
        <v>0</v>
      </c>
      <c r="AH47" s="29"/>
      <c r="AI47" s="39"/>
    </row>
    <row r="48" spans="1:35" s="30" customFormat="1" ht="62.25" customHeight="1" x14ac:dyDescent="0.25">
      <c r="A48" s="48"/>
      <c r="B48" s="85" t="s">
        <v>48</v>
      </c>
      <c r="C48" s="36" t="s">
        <v>28</v>
      </c>
      <c r="D48" s="25">
        <f t="shared" ref="D48:E48" si="65">D49</f>
        <v>37412.998</v>
      </c>
      <c r="E48" s="32">
        <f t="shared" si="65"/>
        <v>19859.005999999998</v>
      </c>
      <c r="F48" s="32">
        <f t="shared" si="60"/>
        <v>20806.397000000001</v>
      </c>
      <c r="G48" s="32">
        <f>G49</f>
        <v>20806.397000000001</v>
      </c>
      <c r="H48" s="32">
        <f t="shared" si="61"/>
        <v>55.612749879066094</v>
      </c>
      <c r="I48" s="32">
        <f t="shared" si="62"/>
        <v>104.77058620154504</v>
      </c>
      <c r="J48" s="32">
        <f t="shared" ref="J48:AG48" si="66">J49</f>
        <v>4729.085</v>
      </c>
      <c r="K48" s="32">
        <f t="shared" si="66"/>
        <v>1017.74</v>
      </c>
      <c r="L48" s="32">
        <f t="shared" si="66"/>
        <v>4931.268</v>
      </c>
      <c r="M48" s="32">
        <f t="shared" si="66"/>
        <v>4075.4470000000001</v>
      </c>
      <c r="N48" s="32">
        <f t="shared" si="66"/>
        <v>5070.2219999999998</v>
      </c>
      <c r="O48" s="32">
        <f t="shared" si="66"/>
        <v>5310.01</v>
      </c>
      <c r="P48" s="32">
        <f t="shared" si="66"/>
        <v>5128.4309999999996</v>
      </c>
      <c r="Q48" s="32">
        <f t="shared" si="66"/>
        <v>10403.200000000001</v>
      </c>
      <c r="R48" s="32">
        <f t="shared" si="66"/>
        <v>5058.4309999999996</v>
      </c>
      <c r="S48" s="32">
        <f t="shared" si="66"/>
        <v>0</v>
      </c>
      <c r="T48" s="32">
        <f t="shared" si="66"/>
        <v>3848.0439999999999</v>
      </c>
      <c r="U48" s="32">
        <f t="shared" si="66"/>
        <v>0</v>
      </c>
      <c r="V48" s="32">
        <f t="shared" si="66"/>
        <v>2660.346</v>
      </c>
      <c r="W48" s="32">
        <f t="shared" si="66"/>
        <v>0</v>
      </c>
      <c r="X48" s="32">
        <f t="shared" si="66"/>
        <v>1752.5940000000001</v>
      </c>
      <c r="Y48" s="32">
        <f t="shared" si="66"/>
        <v>0</v>
      </c>
      <c r="Z48" s="32">
        <f t="shared" si="66"/>
        <v>1275.7249999999999</v>
      </c>
      <c r="AA48" s="32">
        <f t="shared" si="66"/>
        <v>0</v>
      </c>
      <c r="AB48" s="32">
        <f t="shared" si="66"/>
        <v>994.83</v>
      </c>
      <c r="AC48" s="32">
        <f t="shared" si="66"/>
        <v>0</v>
      </c>
      <c r="AD48" s="32">
        <f t="shared" si="66"/>
        <v>972.43</v>
      </c>
      <c r="AE48" s="32">
        <f t="shared" si="66"/>
        <v>0</v>
      </c>
      <c r="AF48" s="32">
        <f t="shared" si="66"/>
        <v>991.59199999999998</v>
      </c>
      <c r="AG48" s="32">
        <f t="shared" si="66"/>
        <v>0</v>
      </c>
      <c r="AH48" s="29"/>
      <c r="AI48" s="39"/>
    </row>
    <row r="49" spans="1:35" s="30" customFormat="1" ht="105.75" customHeight="1" x14ac:dyDescent="0.25">
      <c r="A49" s="48"/>
      <c r="B49" s="85"/>
      <c r="C49" s="36" t="s">
        <v>30</v>
      </c>
      <c r="D49" s="25">
        <f t="shared" ref="D49" si="67">SUM(J49,L49,N49,P49,R49,T49,V49,X49,Z49,AB49,AD49,AF49)</f>
        <v>37412.998</v>
      </c>
      <c r="E49" s="32">
        <f>J49+L49+N49+P49</f>
        <v>19859.005999999998</v>
      </c>
      <c r="F49" s="32">
        <f t="shared" si="60"/>
        <v>20806.397000000001</v>
      </c>
      <c r="G49" s="32">
        <f t="shared" ref="G49" si="68">SUM(K49,M49,O49,Q49,S49,U49,W49,Y49,AA49,AC49,AE49,AG49)</f>
        <v>20806.397000000001</v>
      </c>
      <c r="H49" s="32">
        <f t="shared" si="61"/>
        <v>55.612749879066094</v>
      </c>
      <c r="I49" s="32">
        <f t="shared" si="62"/>
        <v>104.77058620154504</v>
      </c>
      <c r="J49" s="37">
        <v>4729.085</v>
      </c>
      <c r="K49" s="37">
        <v>1017.74</v>
      </c>
      <c r="L49" s="37">
        <v>4931.268</v>
      </c>
      <c r="M49" s="37">
        <v>4075.4470000000001</v>
      </c>
      <c r="N49" s="37">
        <v>5070.2219999999998</v>
      </c>
      <c r="O49" s="37">
        <v>5310.01</v>
      </c>
      <c r="P49" s="37">
        <v>5128.4309999999996</v>
      </c>
      <c r="Q49" s="37">
        <v>10403.200000000001</v>
      </c>
      <c r="R49" s="37">
        <v>5058.4309999999996</v>
      </c>
      <c r="S49" s="37">
        <v>0</v>
      </c>
      <c r="T49" s="37">
        <v>3848.0439999999999</v>
      </c>
      <c r="U49" s="37">
        <v>0</v>
      </c>
      <c r="V49" s="37">
        <v>2660.346</v>
      </c>
      <c r="W49" s="37">
        <v>0</v>
      </c>
      <c r="X49" s="37">
        <v>1752.5940000000001</v>
      </c>
      <c r="Y49" s="37">
        <v>0</v>
      </c>
      <c r="Z49" s="37">
        <v>1275.7249999999999</v>
      </c>
      <c r="AA49" s="37">
        <v>0</v>
      </c>
      <c r="AB49" s="37">
        <v>994.83</v>
      </c>
      <c r="AC49" s="37">
        <v>0</v>
      </c>
      <c r="AD49" s="37">
        <v>972.43</v>
      </c>
      <c r="AE49" s="37">
        <v>0</v>
      </c>
      <c r="AF49" s="37">
        <v>991.59199999999998</v>
      </c>
      <c r="AG49" s="37">
        <v>0</v>
      </c>
      <c r="AH49" s="29"/>
      <c r="AI49" s="39"/>
    </row>
    <row r="50" spans="1:35" s="30" customFormat="1" ht="90.75" customHeight="1" x14ac:dyDescent="0.25">
      <c r="A50" s="93"/>
      <c r="B50" s="89" t="s">
        <v>49</v>
      </c>
      <c r="C50" s="36" t="s">
        <v>28</v>
      </c>
      <c r="D50" s="25">
        <f>D52+D51</f>
        <v>8640</v>
      </c>
      <c r="E50" s="32">
        <f t="shared" ref="E50:G50" si="69">E52+E51</f>
        <v>3720</v>
      </c>
      <c r="F50" s="32">
        <f t="shared" si="69"/>
        <v>3436</v>
      </c>
      <c r="G50" s="32">
        <f t="shared" si="69"/>
        <v>3436</v>
      </c>
      <c r="H50" s="32">
        <f t="shared" si="61"/>
        <v>39.768518518518519</v>
      </c>
      <c r="I50" s="32">
        <f t="shared" si="62"/>
        <v>92.365591397849471</v>
      </c>
      <c r="J50" s="37">
        <f>J52+J51</f>
        <v>930</v>
      </c>
      <c r="K50" s="37">
        <f t="shared" ref="K50:AG50" si="70">K52+K51</f>
        <v>0</v>
      </c>
      <c r="L50" s="37">
        <f t="shared" si="70"/>
        <v>930</v>
      </c>
      <c r="M50" s="37">
        <f t="shared" si="70"/>
        <v>1300</v>
      </c>
      <c r="N50" s="37">
        <f t="shared" si="70"/>
        <v>930</v>
      </c>
      <c r="O50" s="37">
        <f t="shared" si="70"/>
        <v>1060</v>
      </c>
      <c r="P50" s="37">
        <f t="shared" si="70"/>
        <v>930</v>
      </c>
      <c r="Q50" s="38">
        <f t="shared" si="70"/>
        <v>1076</v>
      </c>
      <c r="R50" s="37">
        <f t="shared" si="70"/>
        <v>930</v>
      </c>
      <c r="S50" s="37">
        <f t="shared" si="70"/>
        <v>0</v>
      </c>
      <c r="T50" s="37">
        <f t="shared" si="70"/>
        <v>930</v>
      </c>
      <c r="U50" s="37">
        <f t="shared" si="70"/>
        <v>0</v>
      </c>
      <c r="V50" s="37">
        <f t="shared" si="70"/>
        <v>930</v>
      </c>
      <c r="W50" s="37">
        <f t="shared" si="70"/>
        <v>0</v>
      </c>
      <c r="X50" s="37">
        <f t="shared" si="70"/>
        <v>930</v>
      </c>
      <c r="Y50" s="37">
        <f t="shared" si="70"/>
        <v>0</v>
      </c>
      <c r="Z50" s="37">
        <f t="shared" si="70"/>
        <v>600</v>
      </c>
      <c r="AA50" s="37">
        <f t="shared" si="70"/>
        <v>0</v>
      </c>
      <c r="AB50" s="37">
        <f t="shared" si="70"/>
        <v>600</v>
      </c>
      <c r="AC50" s="37">
        <f t="shared" si="70"/>
        <v>0</v>
      </c>
      <c r="AD50" s="37">
        <f t="shared" si="70"/>
        <v>0</v>
      </c>
      <c r="AE50" s="37">
        <f t="shared" si="70"/>
        <v>0</v>
      </c>
      <c r="AF50" s="37">
        <f t="shared" si="70"/>
        <v>0</v>
      </c>
      <c r="AG50" s="37">
        <f t="shared" si="70"/>
        <v>0</v>
      </c>
      <c r="AH50" s="29"/>
      <c r="AI50" s="39"/>
    </row>
    <row r="51" spans="1:35" s="30" customFormat="1" ht="88.5" customHeight="1" x14ac:dyDescent="0.25">
      <c r="A51" s="94"/>
      <c r="B51" s="90"/>
      <c r="C51" s="36" t="s">
        <v>30</v>
      </c>
      <c r="D51" s="25">
        <f>SUM(J51,L51,N51,P51,R51,T51,V51,X51,Z51,AB51,AD51,AF51)</f>
        <v>8640</v>
      </c>
      <c r="E51" s="32">
        <f>J51+L51+N51+P51</f>
        <v>3720</v>
      </c>
      <c r="F51" s="32">
        <f>G51</f>
        <v>3436</v>
      </c>
      <c r="G51" s="32">
        <f>SUM(K51,M51,O51,Q51,S51,U51,W51,Y51,AA51,AC51,AE51,AG51)</f>
        <v>3436</v>
      </c>
      <c r="H51" s="32">
        <f>IFERROR(G51/D51*100,0)</f>
        <v>39.768518518518519</v>
      </c>
      <c r="I51" s="32">
        <f>IFERROR(G51/E51*100,0)</f>
        <v>92.365591397849471</v>
      </c>
      <c r="J51" s="37">
        <v>930</v>
      </c>
      <c r="K51" s="37">
        <v>0</v>
      </c>
      <c r="L51" s="37">
        <v>930</v>
      </c>
      <c r="M51" s="37">
        <v>1300</v>
      </c>
      <c r="N51" s="37">
        <v>930</v>
      </c>
      <c r="O51" s="37">
        <v>1060</v>
      </c>
      <c r="P51" s="37">
        <v>930</v>
      </c>
      <c r="Q51" s="37">
        <v>1076</v>
      </c>
      <c r="R51" s="37">
        <v>930</v>
      </c>
      <c r="S51" s="37">
        <v>0</v>
      </c>
      <c r="T51" s="37">
        <v>930</v>
      </c>
      <c r="U51" s="37">
        <v>0</v>
      </c>
      <c r="V51" s="37">
        <v>930</v>
      </c>
      <c r="W51" s="37">
        <v>0</v>
      </c>
      <c r="X51" s="37">
        <v>930</v>
      </c>
      <c r="Y51" s="37">
        <v>0</v>
      </c>
      <c r="Z51" s="37">
        <v>600</v>
      </c>
      <c r="AA51" s="37">
        <v>0</v>
      </c>
      <c r="AB51" s="37">
        <v>600</v>
      </c>
      <c r="AC51" s="37">
        <v>0</v>
      </c>
      <c r="AD51" s="37">
        <v>0</v>
      </c>
      <c r="AE51" s="37">
        <v>0</v>
      </c>
      <c r="AF51" s="37">
        <v>0</v>
      </c>
      <c r="AG51" s="37">
        <v>0</v>
      </c>
      <c r="AH51" s="29"/>
      <c r="AI51" s="39"/>
    </row>
    <row r="52" spans="1:35" s="51" customFormat="1" ht="28.5" hidden="1" customHeight="1" x14ac:dyDescent="0.25">
      <c r="A52" s="95"/>
      <c r="B52" s="91"/>
      <c r="C52" s="43" t="s">
        <v>32</v>
      </c>
      <c r="D52" s="44">
        <f>SUM(J52,L52,N52,P52,R52,T52,V52,X52,Z52,AB52,AD52,AF52)</f>
        <v>0</v>
      </c>
      <c r="E52" s="45">
        <f>J52</f>
        <v>0</v>
      </c>
      <c r="F52" s="45">
        <f>G52</f>
        <v>0</v>
      </c>
      <c r="G52" s="45">
        <f>SUM(K52,M52,O52,Q52,S52,U52,W52,Y52,AA52,AC52,AE52,AG52)</f>
        <v>0</v>
      </c>
      <c r="H52" s="45">
        <f>IFERROR(G52/D52*100,0)</f>
        <v>0</v>
      </c>
      <c r="I52" s="45">
        <f>IFERROR(G52/E52*100,0)</f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Y52" s="46">
        <v>0</v>
      </c>
      <c r="Z52" s="46">
        <v>0</v>
      </c>
      <c r="AA52" s="46">
        <v>0</v>
      </c>
      <c r="AB52" s="46">
        <v>0</v>
      </c>
      <c r="AC52" s="46">
        <v>0</v>
      </c>
      <c r="AD52" s="46">
        <v>0</v>
      </c>
      <c r="AE52" s="46">
        <v>0</v>
      </c>
      <c r="AF52" s="46">
        <v>0</v>
      </c>
      <c r="AG52" s="46">
        <v>0</v>
      </c>
      <c r="AH52" s="49"/>
      <c r="AI52" s="50"/>
    </row>
    <row r="53" spans="1:35" s="30" customFormat="1" ht="69" customHeight="1" x14ac:dyDescent="0.25">
      <c r="A53" s="48"/>
      <c r="B53" s="85" t="s">
        <v>50</v>
      </c>
      <c r="C53" s="36" t="s">
        <v>28</v>
      </c>
      <c r="D53" s="25">
        <f t="shared" ref="D53:E53" si="71">D54</f>
        <v>46122.400000000001</v>
      </c>
      <c r="E53" s="32">
        <f t="shared" si="71"/>
        <v>21300</v>
      </c>
      <c r="F53" s="32">
        <f t="shared" ref="F53:F54" si="72">G53</f>
        <v>20658.523999999998</v>
      </c>
      <c r="G53" s="32">
        <f>G54</f>
        <v>20658.523999999998</v>
      </c>
      <c r="H53" s="32">
        <f t="shared" ref="H53:H55" si="73">IFERROR(G53/D53*100,0)</f>
        <v>44.790652698038258</v>
      </c>
      <c r="I53" s="32">
        <f t="shared" ref="I53:I55" si="74">IFERROR(G53/E53*100,0)</f>
        <v>96.988375586854445</v>
      </c>
      <c r="J53" s="32">
        <f t="shared" ref="J53:AG53" si="75">J54</f>
        <v>0</v>
      </c>
      <c r="K53" s="32">
        <f t="shared" si="75"/>
        <v>0</v>
      </c>
      <c r="L53" s="32">
        <f t="shared" si="75"/>
        <v>10000</v>
      </c>
      <c r="M53" s="32">
        <f t="shared" si="75"/>
        <v>9277.5139999999992</v>
      </c>
      <c r="N53" s="32">
        <f t="shared" si="75"/>
        <v>5000</v>
      </c>
      <c r="O53" s="32">
        <f t="shared" si="75"/>
        <v>5629.19</v>
      </c>
      <c r="P53" s="32">
        <f t="shared" si="75"/>
        <v>6300</v>
      </c>
      <c r="Q53" s="32">
        <f t="shared" si="75"/>
        <v>5751.82</v>
      </c>
      <c r="R53" s="32">
        <f t="shared" si="75"/>
        <v>0</v>
      </c>
      <c r="S53" s="32">
        <f t="shared" si="75"/>
        <v>0</v>
      </c>
      <c r="T53" s="32">
        <f t="shared" si="75"/>
        <v>0</v>
      </c>
      <c r="U53" s="32">
        <f t="shared" si="75"/>
        <v>0</v>
      </c>
      <c r="V53" s="32">
        <f t="shared" si="75"/>
        <v>0</v>
      </c>
      <c r="W53" s="32">
        <f t="shared" si="75"/>
        <v>0</v>
      </c>
      <c r="X53" s="32">
        <f t="shared" si="75"/>
        <v>0</v>
      </c>
      <c r="Y53" s="32">
        <f t="shared" si="75"/>
        <v>0</v>
      </c>
      <c r="Z53" s="32">
        <f t="shared" si="75"/>
        <v>0</v>
      </c>
      <c r="AA53" s="32">
        <f t="shared" si="75"/>
        <v>0</v>
      </c>
      <c r="AB53" s="32">
        <f t="shared" si="75"/>
        <v>0</v>
      </c>
      <c r="AC53" s="32">
        <f t="shared" si="75"/>
        <v>0</v>
      </c>
      <c r="AD53" s="32">
        <f t="shared" si="75"/>
        <v>0</v>
      </c>
      <c r="AE53" s="32">
        <f t="shared" si="75"/>
        <v>0</v>
      </c>
      <c r="AF53" s="32">
        <f t="shared" si="75"/>
        <v>24822.400000000001</v>
      </c>
      <c r="AG53" s="32">
        <f t="shared" si="75"/>
        <v>0</v>
      </c>
      <c r="AH53" s="29"/>
      <c r="AI53" s="39"/>
    </row>
    <row r="54" spans="1:35" s="30" customFormat="1" ht="67.5" customHeight="1" x14ac:dyDescent="0.25">
      <c r="A54" s="48"/>
      <c r="B54" s="85"/>
      <c r="C54" s="36" t="s">
        <v>30</v>
      </c>
      <c r="D54" s="25">
        <f t="shared" ref="D54" si="76">SUM(J54,L54,N54,P54,R54,T54,V54,X54,Z54,AB54,AD54,AF54)</f>
        <v>46122.400000000001</v>
      </c>
      <c r="E54" s="32">
        <f>J54+L54+N54+P54</f>
        <v>21300</v>
      </c>
      <c r="F54" s="32">
        <f t="shared" si="72"/>
        <v>20658.523999999998</v>
      </c>
      <c r="G54" s="32">
        <f t="shared" ref="G54" si="77">SUM(K54,M54,O54,Q54,S54,U54,W54,Y54,AA54,AC54,AE54,AG54)</f>
        <v>20658.523999999998</v>
      </c>
      <c r="H54" s="32">
        <f t="shared" si="73"/>
        <v>44.790652698038258</v>
      </c>
      <c r="I54" s="32">
        <f t="shared" si="74"/>
        <v>96.988375586854445</v>
      </c>
      <c r="J54" s="37">
        <v>0</v>
      </c>
      <c r="K54" s="37">
        <v>0</v>
      </c>
      <c r="L54" s="37">
        <v>10000</v>
      </c>
      <c r="M54" s="37">
        <v>9277.5139999999992</v>
      </c>
      <c r="N54" s="37">
        <v>5000</v>
      </c>
      <c r="O54" s="37">
        <v>5629.19</v>
      </c>
      <c r="P54" s="37">
        <v>6300</v>
      </c>
      <c r="Q54" s="37">
        <v>5751.82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f>46122.4-10000-5000-6300</f>
        <v>24822.400000000001</v>
      </c>
      <c r="AG54" s="37">
        <v>0</v>
      </c>
      <c r="AH54" s="29"/>
      <c r="AI54" s="39"/>
    </row>
    <row r="55" spans="1:35" s="30" customFormat="1" ht="23.25" customHeight="1" x14ac:dyDescent="0.25">
      <c r="A55" s="86"/>
      <c r="B55" s="89" t="s">
        <v>51</v>
      </c>
      <c r="C55" s="36" t="s">
        <v>28</v>
      </c>
      <c r="D55" s="25">
        <f>D57+D56</f>
        <v>11563.3</v>
      </c>
      <c r="E55" s="32">
        <f t="shared" ref="E55:G55" si="78">E57+E56</f>
        <v>0</v>
      </c>
      <c r="F55" s="32">
        <f t="shared" si="78"/>
        <v>0</v>
      </c>
      <c r="G55" s="32">
        <f t="shared" si="78"/>
        <v>0</v>
      </c>
      <c r="H55" s="32">
        <f t="shared" si="73"/>
        <v>0</v>
      </c>
      <c r="I55" s="32">
        <f t="shared" si="74"/>
        <v>0</v>
      </c>
      <c r="J55" s="37">
        <f>J57+J56</f>
        <v>0</v>
      </c>
      <c r="K55" s="37">
        <f t="shared" ref="K55:AG55" si="79">K57+K56</f>
        <v>0</v>
      </c>
      <c r="L55" s="37">
        <f t="shared" si="79"/>
        <v>0</v>
      </c>
      <c r="M55" s="37">
        <f t="shared" si="79"/>
        <v>0</v>
      </c>
      <c r="N55" s="37">
        <f t="shared" si="79"/>
        <v>0</v>
      </c>
      <c r="O55" s="37">
        <f t="shared" si="79"/>
        <v>0</v>
      </c>
      <c r="P55" s="37">
        <f t="shared" si="79"/>
        <v>0</v>
      </c>
      <c r="Q55" s="37">
        <f t="shared" si="79"/>
        <v>0</v>
      </c>
      <c r="R55" s="37">
        <f t="shared" si="79"/>
        <v>0</v>
      </c>
      <c r="S55" s="37">
        <f t="shared" si="79"/>
        <v>0</v>
      </c>
      <c r="T55" s="37">
        <f t="shared" si="79"/>
        <v>0</v>
      </c>
      <c r="U55" s="37">
        <f t="shared" si="79"/>
        <v>0</v>
      </c>
      <c r="V55" s="37">
        <f t="shared" si="79"/>
        <v>0</v>
      </c>
      <c r="W55" s="37">
        <f t="shared" si="79"/>
        <v>0</v>
      </c>
      <c r="X55" s="37">
        <f t="shared" si="79"/>
        <v>0</v>
      </c>
      <c r="Y55" s="37">
        <f t="shared" si="79"/>
        <v>0</v>
      </c>
      <c r="Z55" s="37">
        <f t="shared" si="79"/>
        <v>0</v>
      </c>
      <c r="AA55" s="37">
        <f t="shared" si="79"/>
        <v>0</v>
      </c>
      <c r="AB55" s="37">
        <f t="shared" si="79"/>
        <v>0</v>
      </c>
      <c r="AC55" s="37">
        <f t="shared" si="79"/>
        <v>0</v>
      </c>
      <c r="AD55" s="37">
        <f t="shared" si="79"/>
        <v>0</v>
      </c>
      <c r="AE55" s="37">
        <f t="shared" si="79"/>
        <v>0</v>
      </c>
      <c r="AF55" s="37">
        <f t="shared" si="79"/>
        <v>11563.3</v>
      </c>
      <c r="AG55" s="37">
        <f t="shared" si="79"/>
        <v>0</v>
      </c>
      <c r="AH55" s="29"/>
      <c r="AI55" s="39"/>
    </row>
    <row r="56" spans="1:35" s="30" customFormat="1" ht="66.75" customHeight="1" x14ac:dyDescent="0.25">
      <c r="A56" s="87"/>
      <c r="B56" s="90"/>
      <c r="C56" s="36" t="s">
        <v>30</v>
      </c>
      <c r="D56" s="25">
        <f>SUM(J56,L56,N56,P56,R56,T56,V56,X56,Z56,AB56,AD56,AF56)</f>
        <v>10406.9</v>
      </c>
      <c r="E56" s="32">
        <f>J56</f>
        <v>0</v>
      </c>
      <c r="F56" s="32">
        <f>G56</f>
        <v>0</v>
      </c>
      <c r="G56" s="32">
        <f>SUM(K56,M56,O56,Q56,S56,U56,W56,Y56,AA56,AC56,AE56,AG56)</f>
        <v>0</v>
      </c>
      <c r="H56" s="32">
        <f>IFERROR(G56/D56*100,0)</f>
        <v>0</v>
      </c>
      <c r="I56" s="32">
        <f>IFERROR(G56/E56*100,0)</f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10406.9</v>
      </c>
      <c r="AG56" s="37">
        <v>0</v>
      </c>
      <c r="AH56" s="29"/>
      <c r="AI56" s="39"/>
    </row>
    <row r="57" spans="1:35" s="30" customFormat="1" ht="75.75" customHeight="1" x14ac:dyDescent="0.25">
      <c r="A57" s="88"/>
      <c r="B57" s="91"/>
      <c r="C57" s="36" t="s">
        <v>31</v>
      </c>
      <c r="D57" s="25">
        <f>SUM(J57,L57,N57,P57,R57,T57,V57,X57,Z57,AB57,AD57,AF57)</f>
        <v>1156.4000000000001</v>
      </c>
      <c r="E57" s="32">
        <f>J57</f>
        <v>0</v>
      </c>
      <c r="F57" s="32">
        <f>G57</f>
        <v>0</v>
      </c>
      <c r="G57" s="32">
        <f>SUM(K57,M57,O57,Q57,S57,U57,W57,Y57,AA57,AC57,AE57,AG57)</f>
        <v>0</v>
      </c>
      <c r="H57" s="32">
        <f>IFERROR(G57/D57*100,0)</f>
        <v>0</v>
      </c>
      <c r="I57" s="32">
        <f>IFERROR(G57/E57*100,0)</f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1156.4000000000001</v>
      </c>
      <c r="AG57" s="37">
        <v>0</v>
      </c>
      <c r="AH57" s="29"/>
      <c r="AI57" s="39"/>
    </row>
    <row r="58" spans="1:35" s="30" customFormat="1" ht="33" customHeight="1" x14ac:dyDescent="0.25">
      <c r="A58" s="77"/>
      <c r="B58" s="92" t="s">
        <v>52</v>
      </c>
      <c r="C58" s="31" t="s">
        <v>28</v>
      </c>
      <c r="D58" s="20">
        <f>D60+D59</f>
        <v>1506.3000000000002</v>
      </c>
      <c r="E58" s="40">
        <f t="shared" ref="E58:G58" si="80">E60+E59</f>
        <v>569.23</v>
      </c>
      <c r="F58" s="40">
        <f t="shared" si="80"/>
        <v>502.31999999999994</v>
      </c>
      <c r="G58" s="40">
        <f t="shared" si="80"/>
        <v>502.31999999999994</v>
      </c>
      <c r="H58" s="40">
        <f t="shared" ref="H58" si="81">IFERROR(G58/D58*100,0)</f>
        <v>33.347938657637911</v>
      </c>
      <c r="I58" s="40">
        <f t="shared" ref="I58" si="82">IFERROR(G58/E58*100,0)</f>
        <v>88.245524656114384</v>
      </c>
      <c r="J58" s="41">
        <f>J60+J59</f>
        <v>27.14</v>
      </c>
      <c r="K58" s="41">
        <f t="shared" ref="K58:AG58" si="83">K60+K59</f>
        <v>0</v>
      </c>
      <c r="L58" s="41">
        <f t="shared" si="83"/>
        <v>0</v>
      </c>
      <c r="M58" s="41">
        <f t="shared" si="83"/>
        <v>27.14</v>
      </c>
      <c r="N58" s="41">
        <f t="shared" si="83"/>
        <v>542.09</v>
      </c>
      <c r="O58" s="41">
        <f t="shared" si="83"/>
        <v>417.09</v>
      </c>
      <c r="P58" s="41">
        <f t="shared" si="83"/>
        <v>207.09</v>
      </c>
      <c r="Q58" s="41">
        <f t="shared" si="83"/>
        <v>58.09</v>
      </c>
      <c r="R58" s="41">
        <f t="shared" si="83"/>
        <v>0</v>
      </c>
      <c r="S58" s="41">
        <f t="shared" si="83"/>
        <v>0</v>
      </c>
      <c r="T58" s="41">
        <f t="shared" si="83"/>
        <v>0</v>
      </c>
      <c r="U58" s="41">
        <f t="shared" si="83"/>
        <v>0</v>
      </c>
      <c r="V58" s="41">
        <f t="shared" si="83"/>
        <v>92.91</v>
      </c>
      <c r="W58" s="41">
        <f t="shared" si="83"/>
        <v>0</v>
      </c>
      <c r="X58" s="41">
        <f t="shared" si="83"/>
        <v>26.91</v>
      </c>
      <c r="Y58" s="41">
        <f t="shared" si="83"/>
        <v>0</v>
      </c>
      <c r="Z58" s="41">
        <f t="shared" si="83"/>
        <v>0</v>
      </c>
      <c r="AA58" s="41">
        <f t="shared" si="83"/>
        <v>0</v>
      </c>
      <c r="AB58" s="41">
        <f t="shared" si="83"/>
        <v>45</v>
      </c>
      <c r="AC58" s="41">
        <f t="shared" si="83"/>
        <v>0</v>
      </c>
      <c r="AD58" s="41">
        <f t="shared" si="83"/>
        <v>0</v>
      </c>
      <c r="AE58" s="41">
        <f t="shared" si="83"/>
        <v>0</v>
      </c>
      <c r="AF58" s="41">
        <f t="shared" si="83"/>
        <v>565.16000000000008</v>
      </c>
      <c r="AG58" s="41">
        <f t="shared" si="83"/>
        <v>0</v>
      </c>
      <c r="AH58" s="33"/>
      <c r="AI58" s="39"/>
    </row>
    <row r="59" spans="1:35" s="30" customFormat="1" ht="57.75" customHeight="1" x14ac:dyDescent="0.25">
      <c r="A59" s="77"/>
      <c r="B59" s="92"/>
      <c r="C59" s="36" t="s">
        <v>30</v>
      </c>
      <c r="D59" s="25">
        <f>SUM(J59,L59,N59,P59,R59,T59,V59,X59,Z59,AB59,AD59,AF59)</f>
        <v>0</v>
      </c>
      <c r="E59" s="32">
        <f>J59</f>
        <v>0</v>
      </c>
      <c r="F59" s="32">
        <f>G59</f>
        <v>0</v>
      </c>
      <c r="G59" s="32">
        <f>SUM(K59,M59,O59,Q59,S59,U59,W59,Y59,AA59,AC59,AE59,AG59)</f>
        <v>0</v>
      </c>
      <c r="H59" s="32">
        <f>IFERROR(G59/D59*100,0)</f>
        <v>0</v>
      </c>
      <c r="I59" s="32">
        <f>IFERROR(G59/E59*100,0)</f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3"/>
      <c r="AI59" s="39"/>
    </row>
    <row r="60" spans="1:35" s="30" customFormat="1" ht="39" customHeight="1" x14ac:dyDescent="0.25">
      <c r="A60" s="78"/>
      <c r="B60" s="92"/>
      <c r="C60" s="36" t="s">
        <v>31</v>
      </c>
      <c r="D60" s="25">
        <f>SUM(J60,L60,N60,P60,R60,T60,V60,X60,Z60,AB60,AD60,AF60)</f>
        <v>1506.3000000000002</v>
      </c>
      <c r="E60" s="32">
        <f>J60+N60</f>
        <v>569.23</v>
      </c>
      <c r="F60" s="32">
        <f>G60</f>
        <v>502.31999999999994</v>
      </c>
      <c r="G60" s="32">
        <f t="shared" ref="G60:G62" si="84">SUM(K60,M60,O60,Q60,S60,U60,W60,Y60,AA60,AC60,AE60,AG60)</f>
        <v>502.31999999999994</v>
      </c>
      <c r="H60" s="32">
        <f>IFERROR(G60/D60*100,0)</f>
        <v>33.347938657637911</v>
      </c>
      <c r="I60" s="32">
        <f>IFERROR(G60/E60*100,0)</f>
        <v>88.245524656114384</v>
      </c>
      <c r="J60" s="37">
        <f>J62+J64</f>
        <v>27.14</v>
      </c>
      <c r="K60" s="37">
        <f t="shared" ref="K60:AG60" si="85">K62+K64</f>
        <v>0</v>
      </c>
      <c r="L60" s="37">
        <f t="shared" si="85"/>
        <v>0</v>
      </c>
      <c r="M60" s="37">
        <f t="shared" si="85"/>
        <v>27.14</v>
      </c>
      <c r="N60" s="37">
        <f t="shared" si="85"/>
        <v>542.09</v>
      </c>
      <c r="O60" s="37">
        <f t="shared" si="85"/>
        <v>417.09</v>
      </c>
      <c r="P60" s="37">
        <f t="shared" si="85"/>
        <v>207.09</v>
      </c>
      <c r="Q60" s="37">
        <f t="shared" si="85"/>
        <v>58.09</v>
      </c>
      <c r="R60" s="37">
        <f t="shared" si="85"/>
        <v>0</v>
      </c>
      <c r="S60" s="37">
        <f t="shared" si="85"/>
        <v>0</v>
      </c>
      <c r="T60" s="37">
        <f t="shared" si="85"/>
        <v>0</v>
      </c>
      <c r="U60" s="37">
        <f t="shared" si="85"/>
        <v>0</v>
      </c>
      <c r="V60" s="37">
        <f t="shared" si="85"/>
        <v>92.91</v>
      </c>
      <c r="W60" s="37">
        <f t="shared" si="85"/>
        <v>0</v>
      </c>
      <c r="X60" s="37">
        <f t="shared" si="85"/>
        <v>26.91</v>
      </c>
      <c r="Y60" s="37">
        <f t="shared" si="85"/>
        <v>0</v>
      </c>
      <c r="Z60" s="37">
        <f t="shared" si="85"/>
        <v>0</v>
      </c>
      <c r="AA60" s="37">
        <f t="shared" si="85"/>
        <v>0</v>
      </c>
      <c r="AB60" s="37">
        <f t="shared" si="85"/>
        <v>45</v>
      </c>
      <c r="AC60" s="37">
        <f t="shared" si="85"/>
        <v>0</v>
      </c>
      <c r="AD60" s="37">
        <f t="shared" si="85"/>
        <v>0</v>
      </c>
      <c r="AE60" s="37">
        <f t="shared" si="85"/>
        <v>0</v>
      </c>
      <c r="AF60" s="37">
        <f t="shared" si="85"/>
        <v>565.16000000000008</v>
      </c>
      <c r="AG60" s="37">
        <f t="shared" si="85"/>
        <v>0</v>
      </c>
      <c r="AH60" s="33"/>
      <c r="AI60" s="39"/>
    </row>
    <row r="61" spans="1:35" s="30" customFormat="1" ht="54" customHeight="1" x14ac:dyDescent="0.25">
      <c r="A61" s="52"/>
      <c r="B61" s="85" t="s">
        <v>53</v>
      </c>
      <c r="C61" s="31" t="s">
        <v>28</v>
      </c>
      <c r="D61" s="25">
        <f t="shared" ref="D61:AG61" si="86">D62</f>
        <v>904</v>
      </c>
      <c r="E61" s="32">
        <f>E62</f>
        <v>713</v>
      </c>
      <c r="F61" s="32">
        <f t="shared" ref="F61:F64" si="87">G61</f>
        <v>439</v>
      </c>
      <c r="G61" s="32">
        <f>G62</f>
        <v>439</v>
      </c>
      <c r="H61" s="32">
        <f t="shared" ref="H61:H65" si="88">IFERROR(G61/D61*100,0)</f>
        <v>48.561946902654867</v>
      </c>
      <c r="I61" s="32">
        <f t="shared" ref="I61:I65" si="89">IFERROR(G61/E61*100,0)</f>
        <v>61.570827489481061</v>
      </c>
      <c r="J61" s="32">
        <f t="shared" si="86"/>
        <v>0</v>
      </c>
      <c r="K61" s="32">
        <f t="shared" si="86"/>
        <v>0</v>
      </c>
      <c r="L61" s="32">
        <f t="shared" si="86"/>
        <v>0</v>
      </c>
      <c r="M61" s="32">
        <f t="shared" si="86"/>
        <v>0</v>
      </c>
      <c r="N61" s="32">
        <f t="shared" si="86"/>
        <v>524</v>
      </c>
      <c r="O61" s="32">
        <f t="shared" si="86"/>
        <v>399</v>
      </c>
      <c r="P61" s="32">
        <f t="shared" si="86"/>
        <v>189</v>
      </c>
      <c r="Q61" s="32">
        <f t="shared" si="86"/>
        <v>40</v>
      </c>
      <c r="R61" s="32">
        <f t="shared" si="86"/>
        <v>0</v>
      </c>
      <c r="S61" s="32">
        <f t="shared" si="86"/>
        <v>0</v>
      </c>
      <c r="T61" s="32">
        <f t="shared" si="86"/>
        <v>0</v>
      </c>
      <c r="U61" s="32">
        <f t="shared" si="86"/>
        <v>0</v>
      </c>
      <c r="V61" s="32">
        <f t="shared" si="86"/>
        <v>66</v>
      </c>
      <c r="W61" s="32">
        <f t="shared" si="86"/>
        <v>0</v>
      </c>
      <c r="X61" s="32">
        <f t="shared" si="86"/>
        <v>0</v>
      </c>
      <c r="Y61" s="32">
        <f t="shared" si="86"/>
        <v>0</v>
      </c>
      <c r="Z61" s="32">
        <f t="shared" si="86"/>
        <v>0</v>
      </c>
      <c r="AA61" s="32">
        <f t="shared" si="86"/>
        <v>0</v>
      </c>
      <c r="AB61" s="32">
        <f t="shared" si="86"/>
        <v>0</v>
      </c>
      <c r="AC61" s="32">
        <f t="shared" si="86"/>
        <v>0</v>
      </c>
      <c r="AD61" s="32">
        <f t="shared" si="86"/>
        <v>0</v>
      </c>
      <c r="AE61" s="32">
        <f t="shared" si="86"/>
        <v>0</v>
      </c>
      <c r="AF61" s="32">
        <f t="shared" si="86"/>
        <v>125</v>
      </c>
      <c r="AG61" s="32">
        <f t="shared" si="86"/>
        <v>0</v>
      </c>
      <c r="AH61" s="33"/>
      <c r="AI61" s="39"/>
    </row>
    <row r="62" spans="1:35" s="30" customFormat="1" ht="84" customHeight="1" x14ac:dyDescent="0.25">
      <c r="A62" s="52"/>
      <c r="B62" s="85"/>
      <c r="C62" s="36" t="s">
        <v>31</v>
      </c>
      <c r="D62" s="25">
        <f t="shared" ref="D62" si="90">SUM(J62,L62,N62,P62,R62,T62,V62,X62,Z62,AB62,AD62,AF62)</f>
        <v>904</v>
      </c>
      <c r="E62" s="32">
        <f>J62+L62+N62+P62</f>
        <v>713</v>
      </c>
      <c r="F62" s="32">
        <f t="shared" si="87"/>
        <v>439</v>
      </c>
      <c r="G62" s="32">
        <f t="shared" si="84"/>
        <v>439</v>
      </c>
      <c r="H62" s="32">
        <f t="shared" si="88"/>
        <v>48.561946902654867</v>
      </c>
      <c r="I62" s="32">
        <f t="shared" si="89"/>
        <v>61.570827489481061</v>
      </c>
      <c r="J62" s="37">
        <v>0</v>
      </c>
      <c r="K62" s="37">
        <v>0</v>
      </c>
      <c r="L62" s="37">
        <v>0</v>
      </c>
      <c r="M62" s="37">
        <v>0</v>
      </c>
      <c r="N62" s="37">
        <f>350+174</f>
        <v>524</v>
      </c>
      <c r="O62" s="37">
        <v>399</v>
      </c>
      <c r="P62" s="37">
        <v>189</v>
      </c>
      <c r="Q62" s="37">
        <v>40</v>
      </c>
      <c r="R62" s="37">
        <v>0</v>
      </c>
      <c r="S62" s="37">
        <v>0</v>
      </c>
      <c r="T62" s="37">
        <v>0</v>
      </c>
      <c r="U62" s="37">
        <v>0</v>
      </c>
      <c r="V62" s="37">
        <f>240-174</f>
        <v>66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125</v>
      </c>
      <c r="AG62" s="37">
        <v>0</v>
      </c>
      <c r="AH62" s="33"/>
      <c r="AI62" s="39"/>
    </row>
    <row r="63" spans="1:35" s="30" customFormat="1" ht="33" customHeight="1" x14ac:dyDescent="0.25">
      <c r="A63" s="52"/>
      <c r="B63" s="75" t="s">
        <v>54</v>
      </c>
      <c r="C63" s="31" t="s">
        <v>28</v>
      </c>
      <c r="D63" s="25">
        <f t="shared" ref="D63:E63" si="91">D64</f>
        <v>602.29999999999995</v>
      </c>
      <c r="E63" s="32">
        <f t="shared" si="91"/>
        <v>63.320000000000007</v>
      </c>
      <c r="F63" s="32">
        <f t="shared" si="87"/>
        <v>63.320000000000007</v>
      </c>
      <c r="G63" s="32">
        <f>G64</f>
        <v>63.320000000000007</v>
      </c>
      <c r="H63" s="32">
        <f t="shared" si="88"/>
        <v>10.513033372073719</v>
      </c>
      <c r="I63" s="32">
        <f t="shared" si="89"/>
        <v>100</v>
      </c>
      <c r="J63" s="32">
        <f t="shared" ref="J63:AG63" si="92">J64</f>
        <v>27.14</v>
      </c>
      <c r="K63" s="32">
        <f t="shared" si="92"/>
        <v>0</v>
      </c>
      <c r="L63" s="32">
        <f t="shared" si="92"/>
        <v>0</v>
      </c>
      <c r="M63" s="32">
        <f t="shared" si="92"/>
        <v>27.14</v>
      </c>
      <c r="N63" s="32">
        <f t="shared" si="92"/>
        <v>18.09</v>
      </c>
      <c r="O63" s="32">
        <f t="shared" si="92"/>
        <v>18.09</v>
      </c>
      <c r="P63" s="32">
        <f t="shared" si="92"/>
        <v>18.09</v>
      </c>
      <c r="Q63" s="32">
        <f t="shared" si="92"/>
        <v>18.09</v>
      </c>
      <c r="R63" s="32">
        <f t="shared" si="92"/>
        <v>0</v>
      </c>
      <c r="S63" s="32">
        <f t="shared" si="92"/>
        <v>0</v>
      </c>
      <c r="T63" s="32">
        <f t="shared" si="92"/>
        <v>0</v>
      </c>
      <c r="U63" s="32">
        <f t="shared" si="92"/>
        <v>0</v>
      </c>
      <c r="V63" s="32">
        <f t="shared" si="92"/>
        <v>26.91</v>
      </c>
      <c r="W63" s="32">
        <f t="shared" si="92"/>
        <v>0</v>
      </c>
      <c r="X63" s="32">
        <f t="shared" si="92"/>
        <v>26.91</v>
      </c>
      <c r="Y63" s="32">
        <f t="shared" si="92"/>
        <v>0</v>
      </c>
      <c r="Z63" s="32">
        <f t="shared" si="92"/>
        <v>0</v>
      </c>
      <c r="AA63" s="32">
        <f t="shared" si="92"/>
        <v>0</v>
      </c>
      <c r="AB63" s="32">
        <f t="shared" si="92"/>
        <v>45</v>
      </c>
      <c r="AC63" s="32">
        <f t="shared" si="92"/>
        <v>0</v>
      </c>
      <c r="AD63" s="32">
        <f t="shared" si="92"/>
        <v>0</v>
      </c>
      <c r="AE63" s="32">
        <f t="shared" si="92"/>
        <v>0</v>
      </c>
      <c r="AF63" s="32">
        <f t="shared" si="92"/>
        <v>440.16</v>
      </c>
      <c r="AG63" s="32">
        <f t="shared" si="92"/>
        <v>0</v>
      </c>
      <c r="AH63" s="33"/>
      <c r="AI63" s="39"/>
    </row>
    <row r="64" spans="1:35" s="30" customFormat="1" ht="35.25" customHeight="1" x14ac:dyDescent="0.25">
      <c r="A64" s="52"/>
      <c r="B64" s="75"/>
      <c r="C64" s="36" t="s">
        <v>31</v>
      </c>
      <c r="D64" s="25">
        <f t="shared" ref="D64" si="93">SUM(J64,L64,N64,P64,R64,T64,V64,X64,Z64,AB64,AD64,AF64)</f>
        <v>602.29999999999995</v>
      </c>
      <c r="E64" s="32">
        <f>J64+L64+N64+P64</f>
        <v>63.320000000000007</v>
      </c>
      <c r="F64" s="32">
        <f t="shared" si="87"/>
        <v>63.320000000000007</v>
      </c>
      <c r="G64" s="32">
        <f t="shared" ref="G64" si="94">SUM(K64,M64,O64,Q64,S64,U64,W64,Y64,AA64,AC64,AE64,AG64)</f>
        <v>63.320000000000007</v>
      </c>
      <c r="H64" s="32">
        <f t="shared" si="88"/>
        <v>10.513033372073719</v>
      </c>
      <c r="I64" s="32">
        <f t="shared" si="89"/>
        <v>100</v>
      </c>
      <c r="J64" s="37">
        <v>27.14</v>
      </c>
      <c r="K64" s="37">
        <v>0</v>
      </c>
      <c r="L64" s="37">
        <v>0</v>
      </c>
      <c r="M64" s="37">
        <v>27.14</v>
      </c>
      <c r="N64" s="37">
        <v>18.09</v>
      </c>
      <c r="O64" s="37">
        <v>18.09</v>
      </c>
      <c r="P64" s="37">
        <v>18.09</v>
      </c>
      <c r="Q64" s="37">
        <v>18.09</v>
      </c>
      <c r="R64" s="37">
        <v>0</v>
      </c>
      <c r="S64" s="37">
        <v>0</v>
      </c>
      <c r="T64" s="37">
        <v>0</v>
      </c>
      <c r="U64" s="37">
        <v>0</v>
      </c>
      <c r="V64" s="37">
        <f>45-18.09</f>
        <v>26.91</v>
      </c>
      <c r="W64" s="37">
        <v>0</v>
      </c>
      <c r="X64" s="37">
        <f>45-18.09</f>
        <v>26.91</v>
      </c>
      <c r="Y64" s="37">
        <v>0</v>
      </c>
      <c r="Z64" s="37">
        <v>0</v>
      </c>
      <c r="AA64" s="37">
        <v>0</v>
      </c>
      <c r="AB64" s="37">
        <v>45</v>
      </c>
      <c r="AC64" s="37">
        <v>0</v>
      </c>
      <c r="AD64" s="37">
        <v>0</v>
      </c>
      <c r="AE64" s="37">
        <v>0</v>
      </c>
      <c r="AF64" s="37">
        <v>440.16</v>
      </c>
      <c r="AG64" s="37">
        <v>0</v>
      </c>
      <c r="AH64" s="33"/>
      <c r="AI64" s="39"/>
    </row>
    <row r="65" spans="1:35" s="30" customFormat="1" ht="38.25" customHeight="1" x14ac:dyDescent="0.25">
      <c r="A65" s="76"/>
      <c r="B65" s="79" t="s">
        <v>55</v>
      </c>
      <c r="C65" s="31" t="s">
        <v>28</v>
      </c>
      <c r="D65" s="20">
        <f>D68+D67+D66</f>
        <v>240922.29300000001</v>
      </c>
      <c r="E65" s="20">
        <f t="shared" ref="E65:G65" si="95">E68+E67+E66</f>
        <v>106813.19700000001</v>
      </c>
      <c r="F65" s="20">
        <f t="shared" si="95"/>
        <v>99146.555999999997</v>
      </c>
      <c r="G65" s="20">
        <f t="shared" si="95"/>
        <v>99146.555999999997</v>
      </c>
      <c r="H65" s="40">
        <f t="shared" si="88"/>
        <v>41.152918962131906</v>
      </c>
      <c r="I65" s="40">
        <f t="shared" si="89"/>
        <v>92.822384110457804</v>
      </c>
      <c r="J65" s="41">
        <f>J68+J67+J66</f>
        <v>13495.745999999999</v>
      </c>
      <c r="K65" s="41">
        <f t="shared" ref="K65:AG65" si="96">K68+K67+K66</f>
        <v>6967.3320000000003</v>
      </c>
      <c r="L65" s="41">
        <f t="shared" si="96"/>
        <v>31844.449999999997</v>
      </c>
      <c r="M65" s="41">
        <f t="shared" si="96"/>
        <v>34115.664000000004</v>
      </c>
      <c r="N65" s="41">
        <f t="shared" si="96"/>
        <v>34334.788</v>
      </c>
      <c r="O65" s="41">
        <f t="shared" si="96"/>
        <v>38194.35</v>
      </c>
      <c r="P65" s="41">
        <f t="shared" si="96"/>
        <v>27138.213</v>
      </c>
      <c r="Q65" s="41">
        <f t="shared" si="96"/>
        <v>19869.21</v>
      </c>
      <c r="R65" s="41">
        <f t="shared" si="96"/>
        <v>27427.764999999999</v>
      </c>
      <c r="S65" s="41">
        <f t="shared" si="96"/>
        <v>0</v>
      </c>
      <c r="T65" s="41">
        <f t="shared" si="96"/>
        <v>11063.804</v>
      </c>
      <c r="U65" s="41">
        <f t="shared" si="96"/>
        <v>0</v>
      </c>
      <c r="V65" s="41">
        <f t="shared" si="96"/>
        <v>0</v>
      </c>
      <c r="W65" s="41">
        <f t="shared" si="96"/>
        <v>0</v>
      </c>
      <c r="X65" s="41">
        <f t="shared" si="96"/>
        <v>0</v>
      </c>
      <c r="Y65" s="41">
        <f t="shared" si="96"/>
        <v>0</v>
      </c>
      <c r="Z65" s="41">
        <f t="shared" si="96"/>
        <v>16342.246000000001</v>
      </c>
      <c r="AA65" s="41">
        <f t="shared" si="96"/>
        <v>0</v>
      </c>
      <c r="AB65" s="41">
        <f t="shared" si="96"/>
        <v>28307.635999999999</v>
      </c>
      <c r="AC65" s="41">
        <f t="shared" si="96"/>
        <v>0</v>
      </c>
      <c r="AD65" s="41">
        <f t="shared" si="96"/>
        <v>27027.771000000001</v>
      </c>
      <c r="AE65" s="41">
        <f t="shared" si="96"/>
        <v>0</v>
      </c>
      <c r="AF65" s="41">
        <f t="shared" si="96"/>
        <v>23939.874000000003</v>
      </c>
      <c r="AG65" s="41">
        <f t="shared" si="96"/>
        <v>0</v>
      </c>
      <c r="AH65" s="33"/>
      <c r="AI65" s="39"/>
    </row>
    <row r="66" spans="1:35" s="30" customFormat="1" ht="38.25" customHeight="1" x14ac:dyDescent="0.25">
      <c r="A66" s="77"/>
      <c r="B66" s="80"/>
      <c r="C66" s="36" t="s">
        <v>29</v>
      </c>
      <c r="D66" s="25">
        <f>SUM(J66,L66,N66,P66,R66,T66,V66,X66,Z66,AB66,AD66,AF66)</f>
        <v>24359.297000000006</v>
      </c>
      <c r="E66" s="32">
        <f>J66+L66+N66+P66</f>
        <v>8233.5970000000016</v>
      </c>
      <c r="F66" s="32">
        <f>G66</f>
        <v>7721.9000000000005</v>
      </c>
      <c r="G66" s="32">
        <f>SUM(K66,M66,O66,Q66,S66,U66,W66,Y66,AA66,AC66,AE66,AG66)</f>
        <v>7721.9000000000005</v>
      </c>
      <c r="H66" s="32">
        <f>IFERROR(G66/D66*100,0)</f>
        <v>31.700011703950238</v>
      </c>
      <c r="I66" s="32">
        <f>IFERROR(G66/E66*100,0)</f>
        <v>93.78525570294488</v>
      </c>
      <c r="J66" s="37"/>
      <c r="K66" s="37">
        <v>0</v>
      </c>
      <c r="L66" s="37">
        <v>2950.25</v>
      </c>
      <c r="M66" s="37">
        <v>2950.25</v>
      </c>
      <c r="N66" s="37">
        <v>2582.19</v>
      </c>
      <c r="O66" s="37">
        <v>2582.19</v>
      </c>
      <c r="P66" s="37">
        <v>2701.1570000000002</v>
      </c>
      <c r="Q66" s="37">
        <v>2189.46</v>
      </c>
      <c r="R66" s="37">
        <v>2562.4679999999998</v>
      </c>
      <c r="S66" s="37">
        <v>0</v>
      </c>
      <c r="T66" s="37">
        <f>1882.74+1346.155</f>
        <v>3228.895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1758.44</v>
      </c>
      <c r="AA66" s="37">
        <v>0</v>
      </c>
      <c r="AB66" s="37">
        <v>3055.9409999999998</v>
      </c>
      <c r="AC66" s="37">
        <v>0</v>
      </c>
      <c r="AD66" s="37">
        <v>2831.2150000000001</v>
      </c>
      <c r="AE66" s="37">
        <v>0</v>
      </c>
      <c r="AF66" s="37">
        <v>2688.741</v>
      </c>
      <c r="AG66" s="37">
        <v>0</v>
      </c>
      <c r="AH66" s="33"/>
      <c r="AI66" s="39"/>
    </row>
    <row r="67" spans="1:35" s="30" customFormat="1" ht="58.5" customHeight="1" x14ac:dyDescent="0.25">
      <c r="A67" s="77"/>
      <c r="B67" s="80"/>
      <c r="C67" s="36" t="s">
        <v>30</v>
      </c>
      <c r="D67" s="25">
        <f>SUM(J67,L67,N67,P67,R67,T67,V67,X67,Z67,AB67,AD67,AF67)</f>
        <v>178449.69899999999</v>
      </c>
      <c r="E67" s="32">
        <f t="shared" ref="E67:E68" si="97">J67+L67+N67+P67</f>
        <v>83373.569000000003</v>
      </c>
      <c r="F67" s="32">
        <f>G67</f>
        <v>76510.44</v>
      </c>
      <c r="G67" s="32">
        <f>SUM(K67,M67,O67,Q67,S67,U67,W67,Y67,AA67,AC67,AE67,AG67)</f>
        <v>76510.44</v>
      </c>
      <c r="H67" s="32">
        <f>IFERROR(G67/D67*100,0)</f>
        <v>42.875073720354109</v>
      </c>
      <c r="I67" s="32">
        <f>IFERROR(G67/E67*100,0)</f>
        <v>91.768219734002258</v>
      </c>
      <c r="J67" s="37">
        <v>10826.804</v>
      </c>
      <c r="K67" s="37">
        <v>5045.0659999999998</v>
      </c>
      <c r="L67" s="37">
        <v>23970.313999999998</v>
      </c>
      <c r="M67" s="37">
        <v>26319.394</v>
      </c>
      <c r="N67" s="37">
        <f>5000+23329.435</f>
        <v>28329.435000000001</v>
      </c>
      <c r="O67" s="37">
        <v>31364.46</v>
      </c>
      <c r="P67" s="37">
        <v>20247.016</v>
      </c>
      <c r="Q67" s="37">
        <v>13781.52</v>
      </c>
      <c r="R67" s="37">
        <v>20800.191999999999</v>
      </c>
      <c r="S67" s="37">
        <v>0</v>
      </c>
      <c r="T67" s="37">
        <f>11518.371-5000</f>
        <v>6518.3709999999992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11748.971</v>
      </c>
      <c r="AA67" s="37">
        <v>0</v>
      </c>
      <c r="AB67" s="37">
        <v>20744.464</v>
      </c>
      <c r="AC67" s="37">
        <v>0</v>
      </c>
      <c r="AD67" s="37">
        <v>20038.042000000001</v>
      </c>
      <c r="AE67" s="37">
        <v>0</v>
      </c>
      <c r="AF67" s="37">
        <v>15226.09</v>
      </c>
      <c r="AG67" s="37">
        <v>0</v>
      </c>
      <c r="AH67" s="37"/>
      <c r="AI67" s="39"/>
    </row>
    <row r="68" spans="1:35" s="30" customFormat="1" ht="45.75" customHeight="1" x14ac:dyDescent="0.25">
      <c r="A68" s="78"/>
      <c r="B68" s="81"/>
      <c r="C68" s="36" t="s">
        <v>31</v>
      </c>
      <c r="D68" s="25">
        <f>SUM(J68,L68,N68,P68,R68,T68,V68,X68,Z68,AB68,AD68,AF68)</f>
        <v>38113.296999999999</v>
      </c>
      <c r="E68" s="32">
        <f t="shared" si="97"/>
        <v>15206.030999999999</v>
      </c>
      <c r="F68" s="32">
        <f>G68</f>
        <v>14914.216</v>
      </c>
      <c r="G68" s="32">
        <f>SUM(K68,M68,O68,Q68,S68,U68,W68,Y68,AA68,AC68,AE68,AG68)</f>
        <v>14914.216</v>
      </c>
      <c r="H68" s="32">
        <f>IFERROR(G68/D68*100,0)</f>
        <v>39.131266969635298</v>
      </c>
      <c r="I68" s="32">
        <f>IFERROR(G68/E68*100,0)</f>
        <v>98.080925916828662</v>
      </c>
      <c r="J68" s="37">
        <v>2668.942</v>
      </c>
      <c r="K68" s="37">
        <v>1922.2660000000001</v>
      </c>
      <c r="L68" s="37">
        <v>4923.8860000000004</v>
      </c>
      <c r="M68" s="37">
        <v>4846.0200000000004</v>
      </c>
      <c r="N68" s="37">
        <f>4459.913-1036.75</f>
        <v>3423.1629999999996</v>
      </c>
      <c r="O68" s="37">
        <v>4247.7</v>
      </c>
      <c r="P68" s="37">
        <v>4190.04</v>
      </c>
      <c r="Q68" s="37">
        <v>3898.23</v>
      </c>
      <c r="R68" s="37">
        <v>4065.105</v>
      </c>
      <c r="S68" s="37">
        <v>0</v>
      </c>
      <c r="T68" s="37">
        <f>2353.288-1036.75</f>
        <v>1316.538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2834.835</v>
      </c>
      <c r="AA68" s="37">
        <v>0</v>
      </c>
      <c r="AB68" s="37">
        <v>4507.2309999999998</v>
      </c>
      <c r="AC68" s="37">
        <v>0</v>
      </c>
      <c r="AD68" s="37">
        <v>4158.5140000000001</v>
      </c>
      <c r="AE68" s="37">
        <v>0</v>
      </c>
      <c r="AF68" s="37">
        <f>2073.5+3951.543</f>
        <v>6025.0429999999997</v>
      </c>
      <c r="AG68" s="37">
        <v>0</v>
      </c>
      <c r="AH68" s="33"/>
      <c r="AI68" s="39"/>
    </row>
    <row r="69" spans="1:35" s="30" customFormat="1" ht="32.25" customHeight="1" x14ac:dyDescent="0.25">
      <c r="A69" s="53"/>
      <c r="B69" s="62" t="s">
        <v>56</v>
      </c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4"/>
      <c r="AH69" s="47"/>
      <c r="AI69" s="39"/>
    </row>
    <row r="70" spans="1:35" s="35" customFormat="1" ht="23.25" customHeight="1" x14ac:dyDescent="0.25">
      <c r="A70" s="76" t="s">
        <v>57</v>
      </c>
      <c r="B70" s="82" t="s">
        <v>58</v>
      </c>
      <c r="C70" s="31" t="s">
        <v>28</v>
      </c>
      <c r="D70" s="20">
        <f>D72+D73+D71</f>
        <v>61415.898000000001</v>
      </c>
      <c r="E70" s="20">
        <f t="shared" ref="E70:G70" si="98">E72+E73+E71</f>
        <v>2047.2289999999998</v>
      </c>
      <c r="F70" s="20">
        <f t="shared" si="98"/>
        <v>13306.353999999999</v>
      </c>
      <c r="G70" s="20">
        <f t="shared" si="98"/>
        <v>13306.353999999999</v>
      </c>
      <c r="H70" s="40">
        <f t="shared" ref="H70:H90" si="99">IFERROR(G70/D70*100,0)</f>
        <v>21.665976454500427</v>
      </c>
      <c r="I70" s="40">
        <f t="shared" ref="I70:I90" si="100">IFERROR(G70/E70*100,0)</f>
        <v>649.96900688687003</v>
      </c>
      <c r="J70" s="40">
        <f t="shared" ref="J70:AG70" si="101">J72+J73+J71</f>
        <v>518.59899999999993</v>
      </c>
      <c r="K70" s="40">
        <f t="shared" si="101"/>
        <v>418.6</v>
      </c>
      <c r="L70" s="40">
        <f t="shared" si="101"/>
        <v>81.510000000000005</v>
      </c>
      <c r="M70" s="40">
        <f t="shared" si="101"/>
        <v>111.495</v>
      </c>
      <c r="N70" s="40">
        <f t="shared" si="101"/>
        <v>1447.12</v>
      </c>
      <c r="O70" s="40">
        <f t="shared" si="101"/>
        <v>1447.1189999999999</v>
      </c>
      <c r="P70" s="40">
        <f t="shared" si="101"/>
        <v>13699.06</v>
      </c>
      <c r="Q70" s="40">
        <f t="shared" si="101"/>
        <v>11329.14</v>
      </c>
      <c r="R70" s="40">
        <f t="shared" si="101"/>
        <v>11715.761</v>
      </c>
      <c r="S70" s="40">
        <f t="shared" si="101"/>
        <v>0</v>
      </c>
      <c r="T70" s="40">
        <f t="shared" si="101"/>
        <v>12653.548000000001</v>
      </c>
      <c r="U70" s="40">
        <f t="shared" si="101"/>
        <v>0</v>
      </c>
      <c r="V70" s="40">
        <f t="shared" si="101"/>
        <v>5925.93</v>
      </c>
      <c r="W70" s="40">
        <f t="shared" si="101"/>
        <v>0</v>
      </c>
      <c r="X70" s="40">
        <f t="shared" si="101"/>
        <v>0</v>
      </c>
      <c r="Y70" s="40">
        <f t="shared" si="101"/>
        <v>0</v>
      </c>
      <c r="Z70" s="40">
        <f t="shared" si="101"/>
        <v>0</v>
      </c>
      <c r="AA70" s="40">
        <f t="shared" si="101"/>
        <v>0</v>
      </c>
      <c r="AB70" s="40">
        <f t="shared" si="101"/>
        <v>0</v>
      </c>
      <c r="AC70" s="40">
        <f t="shared" si="101"/>
        <v>0</v>
      </c>
      <c r="AD70" s="40">
        <f t="shared" si="101"/>
        <v>0</v>
      </c>
      <c r="AE70" s="40">
        <f t="shared" si="101"/>
        <v>0</v>
      </c>
      <c r="AF70" s="40">
        <f t="shared" si="101"/>
        <v>15374.37</v>
      </c>
      <c r="AG70" s="40">
        <f t="shared" si="101"/>
        <v>0</v>
      </c>
      <c r="AH70" s="33"/>
      <c r="AI70" s="34"/>
    </row>
    <row r="71" spans="1:35" s="35" customFormat="1" ht="24.75" hidden="1" customHeight="1" x14ac:dyDescent="0.25">
      <c r="A71" s="77"/>
      <c r="B71" s="83"/>
      <c r="C71" s="36" t="s">
        <v>29</v>
      </c>
      <c r="D71" s="25">
        <f>SUM(J71,L71,N71,P71,R71,T71,V71,X71,Z71,AB71,AD71,AF71)</f>
        <v>0</v>
      </c>
      <c r="E71" s="32">
        <f>J71</f>
        <v>0</v>
      </c>
      <c r="F71" s="32">
        <f>G71</f>
        <v>0</v>
      </c>
      <c r="G71" s="32">
        <f>SUM(K71,M71,O71,Q71,S71,U71,W71,Y71,AA71,AC71,AE71,AG71)</f>
        <v>0</v>
      </c>
      <c r="H71" s="32">
        <f t="shared" si="99"/>
        <v>0</v>
      </c>
      <c r="I71" s="32">
        <f t="shared" si="100"/>
        <v>0</v>
      </c>
      <c r="J71" s="32">
        <f>J75</f>
        <v>0</v>
      </c>
      <c r="K71" s="32">
        <f t="shared" ref="K71:AG72" si="102">K75</f>
        <v>0</v>
      </c>
      <c r="L71" s="32">
        <f t="shared" si="102"/>
        <v>0</v>
      </c>
      <c r="M71" s="32">
        <f t="shared" si="102"/>
        <v>0</v>
      </c>
      <c r="N71" s="32">
        <f t="shared" si="102"/>
        <v>0</v>
      </c>
      <c r="O71" s="32">
        <f t="shared" si="102"/>
        <v>0</v>
      </c>
      <c r="P71" s="32">
        <f t="shared" si="102"/>
        <v>0</v>
      </c>
      <c r="Q71" s="32">
        <f t="shared" si="102"/>
        <v>0</v>
      </c>
      <c r="R71" s="32">
        <f t="shared" si="102"/>
        <v>0</v>
      </c>
      <c r="S71" s="32">
        <f t="shared" si="102"/>
        <v>0</v>
      </c>
      <c r="T71" s="32">
        <f t="shared" si="102"/>
        <v>0</v>
      </c>
      <c r="U71" s="32">
        <f t="shared" si="102"/>
        <v>0</v>
      </c>
      <c r="V71" s="32">
        <f t="shared" si="102"/>
        <v>0</v>
      </c>
      <c r="W71" s="32">
        <f t="shared" si="102"/>
        <v>0</v>
      </c>
      <c r="X71" s="32">
        <f t="shared" si="102"/>
        <v>0</v>
      </c>
      <c r="Y71" s="32">
        <f t="shared" si="102"/>
        <v>0</v>
      </c>
      <c r="Z71" s="32">
        <f t="shared" si="102"/>
        <v>0</v>
      </c>
      <c r="AA71" s="32">
        <f t="shared" si="102"/>
        <v>0</v>
      </c>
      <c r="AB71" s="32">
        <f t="shared" si="102"/>
        <v>0</v>
      </c>
      <c r="AC71" s="32">
        <f t="shared" si="102"/>
        <v>0</v>
      </c>
      <c r="AD71" s="32">
        <f t="shared" si="102"/>
        <v>0</v>
      </c>
      <c r="AE71" s="32">
        <f t="shared" si="102"/>
        <v>0</v>
      </c>
      <c r="AF71" s="32">
        <f t="shared" si="102"/>
        <v>0</v>
      </c>
      <c r="AG71" s="32">
        <f t="shared" si="102"/>
        <v>0</v>
      </c>
      <c r="AH71" s="33"/>
      <c r="AI71" s="34"/>
    </row>
    <row r="72" spans="1:35" s="35" customFormat="1" ht="37.5" customHeight="1" x14ac:dyDescent="0.25">
      <c r="A72" s="77"/>
      <c r="B72" s="83"/>
      <c r="C72" s="36" t="s">
        <v>30</v>
      </c>
      <c r="D72" s="25">
        <f>SUM(J72,L72,N72,P72,R72,T72,V72,X72,Z72,AB72,AD72,AF72)</f>
        <v>39314.599000000002</v>
      </c>
      <c r="E72" s="32">
        <f>J72+L72+N72</f>
        <v>731.29300000000001</v>
      </c>
      <c r="F72" s="32">
        <f>G72</f>
        <v>11990.413999999999</v>
      </c>
      <c r="G72" s="32">
        <f>SUM(K72,M72,O72,Q72,S72,U72,W72,Y72,AA72,AC72,AE72,AG72)</f>
        <v>11990.413999999999</v>
      </c>
      <c r="H72" s="32">
        <f t="shared" si="99"/>
        <v>30.498629783811349</v>
      </c>
      <c r="I72" s="32">
        <f t="shared" si="100"/>
        <v>1639.6183198799931</v>
      </c>
      <c r="J72" s="37">
        <f>J76</f>
        <v>414.19299999999998</v>
      </c>
      <c r="K72" s="37">
        <f t="shared" si="102"/>
        <v>314.19</v>
      </c>
      <c r="L72" s="37">
        <f t="shared" si="102"/>
        <v>81.510000000000005</v>
      </c>
      <c r="M72" s="37">
        <f t="shared" si="102"/>
        <v>111.495</v>
      </c>
      <c r="N72" s="37">
        <f t="shared" si="102"/>
        <v>235.59</v>
      </c>
      <c r="O72" s="37">
        <f t="shared" si="102"/>
        <v>235.589</v>
      </c>
      <c r="P72" s="37">
        <f t="shared" si="102"/>
        <v>13699.06</v>
      </c>
      <c r="Q72" s="37">
        <f t="shared" si="102"/>
        <v>11329.14</v>
      </c>
      <c r="R72" s="37">
        <f t="shared" si="102"/>
        <v>9685.8060000000005</v>
      </c>
      <c r="S72" s="37">
        <f t="shared" si="102"/>
        <v>0</v>
      </c>
      <c r="T72" s="37">
        <f t="shared" si="102"/>
        <v>9926.01</v>
      </c>
      <c r="U72" s="37">
        <f t="shared" si="102"/>
        <v>0</v>
      </c>
      <c r="V72" s="37">
        <f t="shared" si="102"/>
        <v>5272.43</v>
      </c>
      <c r="W72" s="37">
        <f t="shared" si="102"/>
        <v>0</v>
      </c>
      <c r="X72" s="37">
        <f t="shared" si="102"/>
        <v>0</v>
      </c>
      <c r="Y72" s="37">
        <f t="shared" si="102"/>
        <v>0</v>
      </c>
      <c r="Z72" s="37">
        <f t="shared" si="102"/>
        <v>0</v>
      </c>
      <c r="AA72" s="37">
        <f t="shared" si="102"/>
        <v>0</v>
      </c>
      <c r="AB72" s="37">
        <f t="shared" si="102"/>
        <v>0</v>
      </c>
      <c r="AC72" s="37">
        <f t="shared" si="102"/>
        <v>0</v>
      </c>
      <c r="AD72" s="37">
        <f t="shared" si="102"/>
        <v>0</v>
      </c>
      <c r="AE72" s="37">
        <f t="shared" si="102"/>
        <v>0</v>
      </c>
      <c r="AF72" s="37">
        <f t="shared" si="102"/>
        <v>0</v>
      </c>
      <c r="AG72" s="37">
        <f t="shared" si="102"/>
        <v>0</v>
      </c>
      <c r="AH72" s="33"/>
      <c r="AI72" s="34"/>
    </row>
    <row r="73" spans="1:35" s="30" customFormat="1" ht="33" customHeight="1" x14ac:dyDescent="0.25">
      <c r="A73" s="77"/>
      <c r="B73" s="84"/>
      <c r="C73" s="36" t="s">
        <v>31</v>
      </c>
      <c r="D73" s="25">
        <f>SUM(J73,L73,N73,P73,R73,T73,V73,X73,Z73,AB73,AD73,AF73)</f>
        <v>22101.298999999999</v>
      </c>
      <c r="E73" s="32">
        <f>J73+L73+N73</f>
        <v>1315.9359999999999</v>
      </c>
      <c r="F73" s="32">
        <f>G73</f>
        <v>1315.94</v>
      </c>
      <c r="G73" s="32">
        <f>SUM(K73,M73,O73,Q73,S73,U73,W73,Y73,AA73,AC73,AE73,AG73)</f>
        <v>1315.94</v>
      </c>
      <c r="H73" s="32">
        <f t="shared" si="99"/>
        <v>5.9541296645052411</v>
      </c>
      <c r="I73" s="32">
        <f>IFERROR(G73/E73*100,0)</f>
        <v>100.00030396615034</v>
      </c>
      <c r="J73" s="38">
        <f t="shared" ref="J73:AG73" si="103">J78</f>
        <v>104.40600000000001</v>
      </c>
      <c r="K73" s="38">
        <f t="shared" si="103"/>
        <v>104.41</v>
      </c>
      <c r="L73" s="38">
        <f t="shared" si="103"/>
        <v>0</v>
      </c>
      <c r="M73" s="38">
        <f t="shared" si="103"/>
        <v>0</v>
      </c>
      <c r="N73" s="38">
        <f t="shared" si="103"/>
        <v>1211.53</v>
      </c>
      <c r="O73" s="38">
        <f t="shared" si="103"/>
        <v>1211.53</v>
      </c>
      <c r="P73" s="38">
        <f t="shared" si="103"/>
        <v>0</v>
      </c>
      <c r="Q73" s="38">
        <f t="shared" si="103"/>
        <v>0</v>
      </c>
      <c r="R73" s="38">
        <f t="shared" si="103"/>
        <v>2029.9549999999999</v>
      </c>
      <c r="S73" s="38">
        <f t="shared" si="103"/>
        <v>0</v>
      </c>
      <c r="T73" s="38">
        <f t="shared" si="103"/>
        <v>2727.538</v>
      </c>
      <c r="U73" s="38">
        <f t="shared" si="103"/>
        <v>0</v>
      </c>
      <c r="V73" s="38">
        <f t="shared" si="103"/>
        <v>653.5</v>
      </c>
      <c r="W73" s="38">
        <f t="shared" si="103"/>
        <v>0</v>
      </c>
      <c r="X73" s="38">
        <f t="shared" si="103"/>
        <v>0</v>
      </c>
      <c r="Y73" s="38">
        <f t="shared" si="103"/>
        <v>0</v>
      </c>
      <c r="Z73" s="38">
        <f t="shared" si="103"/>
        <v>0</v>
      </c>
      <c r="AA73" s="38">
        <f t="shared" si="103"/>
        <v>0</v>
      </c>
      <c r="AB73" s="38">
        <f t="shared" si="103"/>
        <v>0</v>
      </c>
      <c r="AC73" s="38">
        <f t="shared" si="103"/>
        <v>0</v>
      </c>
      <c r="AD73" s="38">
        <f t="shared" si="103"/>
        <v>0</v>
      </c>
      <c r="AE73" s="38">
        <f t="shared" si="103"/>
        <v>0</v>
      </c>
      <c r="AF73" s="38">
        <f t="shared" si="103"/>
        <v>15374.37</v>
      </c>
      <c r="AG73" s="38">
        <f t="shared" si="103"/>
        <v>0</v>
      </c>
      <c r="AH73" s="29"/>
      <c r="AI73" s="39"/>
    </row>
    <row r="74" spans="1:35" s="35" customFormat="1" ht="72.75" customHeight="1" x14ac:dyDescent="0.25">
      <c r="A74" s="54"/>
      <c r="B74" s="72" t="s">
        <v>59</v>
      </c>
      <c r="C74" s="31" t="s">
        <v>28</v>
      </c>
      <c r="D74" s="20">
        <f>D76+D78+D75+D77</f>
        <v>67315.898000000001</v>
      </c>
      <c r="E74" s="20">
        <f t="shared" ref="E74:G74" si="104">E76+E78+E75+E77</f>
        <v>21646.288999999997</v>
      </c>
      <c r="F74" s="20">
        <f t="shared" si="104"/>
        <v>19206.353999999999</v>
      </c>
      <c r="G74" s="20">
        <f t="shared" si="104"/>
        <v>19206.353999999999</v>
      </c>
      <c r="H74" s="32">
        <f t="shared" si="99"/>
        <v>28.531676127977967</v>
      </c>
      <c r="I74" s="32">
        <f>IFERROR(G74/E74*100,0)</f>
        <v>88.728160286504547</v>
      </c>
      <c r="J74" s="40">
        <f t="shared" ref="J74:AG74" si="105">J76+J78+J75</f>
        <v>518.59899999999993</v>
      </c>
      <c r="K74" s="40">
        <f t="shared" si="105"/>
        <v>418.6</v>
      </c>
      <c r="L74" s="40">
        <f t="shared" si="105"/>
        <v>81.510000000000005</v>
      </c>
      <c r="M74" s="40">
        <f t="shared" si="105"/>
        <v>111.495</v>
      </c>
      <c r="N74" s="40">
        <f t="shared" si="105"/>
        <v>1447.12</v>
      </c>
      <c r="O74" s="40">
        <f t="shared" si="105"/>
        <v>1447.1189999999999</v>
      </c>
      <c r="P74" s="40">
        <f t="shared" si="105"/>
        <v>13699.06</v>
      </c>
      <c r="Q74" s="40">
        <f t="shared" si="105"/>
        <v>11329.14</v>
      </c>
      <c r="R74" s="40">
        <f t="shared" si="105"/>
        <v>11715.761</v>
      </c>
      <c r="S74" s="40">
        <f t="shared" si="105"/>
        <v>0</v>
      </c>
      <c r="T74" s="40">
        <f t="shared" si="105"/>
        <v>12653.548000000001</v>
      </c>
      <c r="U74" s="40">
        <f t="shared" si="105"/>
        <v>0</v>
      </c>
      <c r="V74" s="40">
        <f t="shared" si="105"/>
        <v>5925.93</v>
      </c>
      <c r="W74" s="40">
        <f t="shared" si="105"/>
        <v>0</v>
      </c>
      <c r="X74" s="40">
        <f t="shared" si="105"/>
        <v>0</v>
      </c>
      <c r="Y74" s="40">
        <f t="shared" si="105"/>
        <v>0</v>
      </c>
      <c r="Z74" s="40">
        <f t="shared" si="105"/>
        <v>0</v>
      </c>
      <c r="AA74" s="40">
        <f t="shared" si="105"/>
        <v>0</v>
      </c>
      <c r="AB74" s="40">
        <f t="shared" si="105"/>
        <v>0</v>
      </c>
      <c r="AC74" s="40">
        <f t="shared" si="105"/>
        <v>0</v>
      </c>
      <c r="AD74" s="40">
        <f t="shared" si="105"/>
        <v>0</v>
      </c>
      <c r="AE74" s="40">
        <f t="shared" si="105"/>
        <v>0</v>
      </c>
      <c r="AF74" s="40">
        <f t="shared" si="105"/>
        <v>15374.37</v>
      </c>
      <c r="AG74" s="40">
        <f t="shared" si="105"/>
        <v>0</v>
      </c>
      <c r="AH74" s="33"/>
      <c r="AI74" s="34"/>
    </row>
    <row r="75" spans="1:35" s="35" customFormat="1" ht="36" customHeight="1" x14ac:dyDescent="0.25">
      <c r="A75" s="54"/>
      <c r="B75" s="73"/>
      <c r="C75" s="36" t="s">
        <v>29</v>
      </c>
      <c r="D75" s="25">
        <f>SUM(J75,L75,N75,P75,R75,T75,V75,X75,Z75,AB75,AD75,AF75)</f>
        <v>0</v>
      </c>
      <c r="E75" s="32">
        <f>J75</f>
        <v>0</v>
      </c>
      <c r="F75" s="32">
        <f>G75</f>
        <v>0</v>
      </c>
      <c r="G75" s="32">
        <f>SUM(K75,M75,O75,Q75,S75,U75,W75,Y75,AA75,AC75,AE75,AG75)</f>
        <v>0</v>
      </c>
      <c r="H75" s="32">
        <f t="shared" si="99"/>
        <v>0</v>
      </c>
      <c r="I75" s="32">
        <f t="shared" si="100"/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0</v>
      </c>
      <c r="Y75" s="32">
        <v>0</v>
      </c>
      <c r="Z75" s="32">
        <v>0</v>
      </c>
      <c r="AA75" s="32">
        <v>0</v>
      </c>
      <c r="AB75" s="32">
        <v>0</v>
      </c>
      <c r="AC75" s="32">
        <v>0</v>
      </c>
      <c r="AD75" s="32">
        <v>0</v>
      </c>
      <c r="AE75" s="32">
        <v>0</v>
      </c>
      <c r="AF75" s="32">
        <v>0</v>
      </c>
      <c r="AG75" s="32">
        <v>0</v>
      </c>
      <c r="AH75" s="33"/>
      <c r="AI75" s="34"/>
    </row>
    <row r="76" spans="1:35" s="35" customFormat="1" ht="71.25" customHeight="1" x14ac:dyDescent="0.25">
      <c r="A76" s="54"/>
      <c r="B76" s="73"/>
      <c r="C76" s="36" t="s">
        <v>30</v>
      </c>
      <c r="D76" s="25">
        <f>SUM(J76,L76,N76,P76,R76,T76,V76,X76,Z76,AB76,AD76,AF76)</f>
        <v>39314.599000000002</v>
      </c>
      <c r="E76" s="32">
        <f>J76+L76+N76+P76</f>
        <v>14430.352999999999</v>
      </c>
      <c r="F76" s="32">
        <f>G76</f>
        <v>11990.413999999999</v>
      </c>
      <c r="G76" s="32">
        <f>SUM(K76,M76,O76,Q76,S76,U76,W76,Y76,AA76,AC76,AE76,AG76)</f>
        <v>11990.413999999999</v>
      </c>
      <c r="H76" s="32">
        <f t="shared" si="99"/>
        <v>30.498629783811349</v>
      </c>
      <c r="I76" s="32">
        <f t="shared" si="100"/>
        <v>83.09161944964201</v>
      </c>
      <c r="J76" s="37">
        <v>414.19299999999998</v>
      </c>
      <c r="K76" s="37">
        <v>314.19</v>
      </c>
      <c r="L76" s="37">
        <v>81.510000000000005</v>
      </c>
      <c r="M76" s="37">
        <v>111.495</v>
      </c>
      <c r="N76" s="37">
        <v>235.59</v>
      </c>
      <c r="O76" s="37">
        <v>235.589</v>
      </c>
      <c r="P76" s="37">
        <v>13699.06</v>
      </c>
      <c r="Q76" s="37">
        <v>11329.14</v>
      </c>
      <c r="R76" s="37">
        <v>9685.8060000000005</v>
      </c>
      <c r="S76" s="37">
        <v>0</v>
      </c>
      <c r="T76" s="37">
        <f>10161.6-235.59</f>
        <v>9926.01</v>
      </c>
      <c r="U76" s="37">
        <v>0</v>
      </c>
      <c r="V76" s="37">
        <f>7745.89-2473.46</f>
        <v>5272.43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/>
      <c r="AG76" s="37">
        <v>0</v>
      </c>
      <c r="AH76" s="33"/>
      <c r="AI76" s="34"/>
    </row>
    <row r="77" spans="1:35" s="35" customFormat="1" ht="71.25" customHeight="1" x14ac:dyDescent="0.25">
      <c r="A77" s="54"/>
      <c r="B77" s="73"/>
      <c r="C77" s="36" t="s">
        <v>60</v>
      </c>
      <c r="D77" s="25">
        <f>SUM(J77,L77,N77,P77,R77,T77,V77,X77,Z77,AB77,AD77,AF77)</f>
        <v>5900</v>
      </c>
      <c r="E77" s="32">
        <f>J77+L77+N77+P77</f>
        <v>5900</v>
      </c>
      <c r="F77" s="32">
        <f>G77</f>
        <v>5900</v>
      </c>
      <c r="G77" s="32">
        <f>SUM(K77,M77,O77,Q77,S77,U77,W77,Y77,AA77,AC77,AE77,AG77)</f>
        <v>5900</v>
      </c>
      <c r="H77" s="32">
        <f t="shared" si="99"/>
        <v>100</v>
      </c>
      <c r="I77" s="32">
        <f t="shared" si="100"/>
        <v>100</v>
      </c>
      <c r="J77" s="37"/>
      <c r="K77" s="37"/>
      <c r="L77" s="37"/>
      <c r="M77" s="37"/>
      <c r="N77" s="37"/>
      <c r="O77" s="37"/>
      <c r="P77" s="37">
        <v>5900</v>
      </c>
      <c r="Q77" s="37">
        <v>5900</v>
      </c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3"/>
      <c r="AI77" s="34"/>
    </row>
    <row r="78" spans="1:35" s="30" customFormat="1" ht="118.5" customHeight="1" x14ac:dyDescent="0.25">
      <c r="A78" s="54"/>
      <c r="B78" s="74"/>
      <c r="C78" s="36" t="s">
        <v>31</v>
      </c>
      <c r="D78" s="25">
        <f>SUM(J78,L78,N78,P78,R78,T78,V78,X78,Z78,AB78,AD78,AF78)</f>
        <v>22101.298999999999</v>
      </c>
      <c r="E78" s="32">
        <f>J78+L78+N78+P78</f>
        <v>1315.9359999999999</v>
      </c>
      <c r="F78" s="32">
        <f>G78</f>
        <v>1315.94</v>
      </c>
      <c r="G78" s="32">
        <f>SUM(K78,M78,O78,Q78,S78,U78,W78,Y78,AA78,AC78,AE78,AG78)</f>
        <v>1315.94</v>
      </c>
      <c r="H78" s="32">
        <f t="shared" si="99"/>
        <v>5.9541296645052411</v>
      </c>
      <c r="I78" s="32">
        <f t="shared" si="100"/>
        <v>100.00030396615034</v>
      </c>
      <c r="J78" s="38">
        <v>104.40600000000001</v>
      </c>
      <c r="K78" s="38">
        <v>104.41</v>
      </c>
      <c r="L78" s="38">
        <v>0</v>
      </c>
      <c r="M78" s="38">
        <v>0</v>
      </c>
      <c r="N78" s="38">
        <v>1211.53</v>
      </c>
      <c r="O78" s="38">
        <v>1211.53</v>
      </c>
      <c r="P78" s="38">
        <v>0</v>
      </c>
      <c r="Q78" s="38">
        <v>0</v>
      </c>
      <c r="R78" s="38">
        <v>2029.9549999999999</v>
      </c>
      <c r="S78" s="38">
        <v>0</v>
      </c>
      <c r="T78" s="38">
        <v>2727.538</v>
      </c>
      <c r="U78" s="38">
        <v>0</v>
      </c>
      <c r="V78" s="38">
        <v>653.5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f>16585.9-1211.53</f>
        <v>15374.37</v>
      </c>
      <c r="AG78" s="38">
        <v>0</v>
      </c>
      <c r="AH78" s="29"/>
      <c r="AI78" s="39"/>
    </row>
    <row r="79" spans="1:35" s="56" customFormat="1" ht="27" customHeight="1" x14ac:dyDescent="0.25">
      <c r="A79" s="65" t="s">
        <v>61</v>
      </c>
      <c r="B79" s="67" t="s">
        <v>62</v>
      </c>
      <c r="C79" s="19" t="s">
        <v>28</v>
      </c>
      <c r="D79" s="20">
        <f>D80</f>
        <v>83400.796999999991</v>
      </c>
      <c r="E79" s="20">
        <f t="shared" ref="E79:G79" si="106">E80</f>
        <v>31382.534</v>
      </c>
      <c r="F79" s="20">
        <f t="shared" si="106"/>
        <v>36890.165000000001</v>
      </c>
      <c r="G79" s="20">
        <f t="shared" si="106"/>
        <v>36890.165000000001</v>
      </c>
      <c r="H79" s="20">
        <f t="shared" si="99"/>
        <v>44.232389050190982</v>
      </c>
      <c r="I79" s="20">
        <f t="shared" si="100"/>
        <v>117.54998815583215</v>
      </c>
      <c r="J79" s="21">
        <f t="shared" ref="J79:AG79" si="107">SUM(J80:J80)</f>
        <v>14188.016</v>
      </c>
      <c r="K79" s="21">
        <f t="shared" si="107"/>
        <v>10469.1</v>
      </c>
      <c r="L79" s="21">
        <f t="shared" si="107"/>
        <v>9474.8709999999992</v>
      </c>
      <c r="M79" s="21">
        <f t="shared" si="107"/>
        <v>7833.5049999999992</v>
      </c>
      <c r="N79" s="21">
        <f t="shared" si="107"/>
        <v>7719.646999999999</v>
      </c>
      <c r="O79" s="21">
        <f t="shared" si="107"/>
        <v>8012.85</v>
      </c>
      <c r="P79" s="21">
        <f t="shared" si="107"/>
        <v>10438.242999999999</v>
      </c>
      <c r="Q79" s="21">
        <f t="shared" si="107"/>
        <v>10574.71</v>
      </c>
      <c r="R79" s="21">
        <f t="shared" si="107"/>
        <v>6687.6880000000001</v>
      </c>
      <c r="S79" s="21">
        <f t="shared" si="107"/>
        <v>0</v>
      </c>
      <c r="T79" s="21">
        <f t="shared" si="107"/>
        <v>5031.3909999999996</v>
      </c>
      <c r="U79" s="21">
        <f t="shared" si="107"/>
        <v>0</v>
      </c>
      <c r="V79" s="21">
        <f t="shared" si="107"/>
        <v>180.77099999999999</v>
      </c>
      <c r="W79" s="21">
        <f t="shared" si="107"/>
        <v>0</v>
      </c>
      <c r="X79" s="21">
        <f t="shared" si="107"/>
        <v>182.27199999999999</v>
      </c>
      <c r="Y79" s="21">
        <f t="shared" si="107"/>
        <v>0</v>
      </c>
      <c r="Z79" s="21">
        <f t="shared" si="107"/>
        <v>1686.62</v>
      </c>
      <c r="AA79" s="21">
        <f t="shared" si="107"/>
        <v>0</v>
      </c>
      <c r="AB79" s="21">
        <f t="shared" si="107"/>
        <v>11773.816999999999</v>
      </c>
      <c r="AC79" s="21">
        <f t="shared" si="107"/>
        <v>0</v>
      </c>
      <c r="AD79" s="21">
        <f t="shared" si="107"/>
        <v>5395.8029999999999</v>
      </c>
      <c r="AE79" s="21">
        <f t="shared" si="107"/>
        <v>0</v>
      </c>
      <c r="AF79" s="21">
        <f t="shared" si="107"/>
        <v>10641.657999999999</v>
      </c>
      <c r="AG79" s="21">
        <f t="shared" si="107"/>
        <v>0</v>
      </c>
      <c r="AH79" s="22"/>
      <c r="AI79" s="55"/>
    </row>
    <row r="80" spans="1:35" s="57" customFormat="1" ht="72" customHeight="1" x14ac:dyDescent="0.25">
      <c r="A80" s="66"/>
      <c r="B80" s="68"/>
      <c r="C80" s="24" t="s">
        <v>31</v>
      </c>
      <c r="D80" s="25">
        <f>SUM(J80,L80,N80,P80,R80,T80,V80,X80,Z80,AB80,AD80,AF80)</f>
        <v>83400.796999999991</v>
      </c>
      <c r="E80" s="25">
        <f>J80+L80+N80</f>
        <v>31382.534</v>
      </c>
      <c r="F80" s="25">
        <f>G80</f>
        <v>36890.165000000001</v>
      </c>
      <c r="G80" s="25">
        <f>SUM(K80,M80,O80,Q80,S80,U80,W80,Y80,AA80,AC80,AE80,AG80)</f>
        <v>36890.165000000001</v>
      </c>
      <c r="H80" s="25">
        <f t="shared" si="99"/>
        <v>44.232389050190982</v>
      </c>
      <c r="I80" s="25">
        <f t="shared" si="100"/>
        <v>117.54998815583215</v>
      </c>
      <c r="J80" s="38">
        <f>J82+J84+J86+J88+J90</f>
        <v>14188.016</v>
      </c>
      <c r="K80" s="38">
        <f t="shared" ref="K80:AG80" si="108">K82+K84+K86+K88+K90</f>
        <v>10469.1</v>
      </c>
      <c r="L80" s="38">
        <f t="shared" si="108"/>
        <v>9474.8709999999992</v>
      </c>
      <c r="M80" s="38">
        <f t="shared" si="108"/>
        <v>7833.5049999999992</v>
      </c>
      <c r="N80" s="38">
        <f t="shared" si="108"/>
        <v>7719.646999999999</v>
      </c>
      <c r="O80" s="38">
        <f t="shared" si="108"/>
        <v>8012.85</v>
      </c>
      <c r="P80" s="38">
        <f t="shared" si="108"/>
        <v>10438.242999999999</v>
      </c>
      <c r="Q80" s="38">
        <f t="shared" si="108"/>
        <v>10574.71</v>
      </c>
      <c r="R80" s="38">
        <f t="shared" si="108"/>
        <v>6687.6880000000001</v>
      </c>
      <c r="S80" s="38">
        <f t="shared" si="108"/>
        <v>0</v>
      </c>
      <c r="T80" s="38">
        <f t="shared" si="108"/>
        <v>5031.3909999999996</v>
      </c>
      <c r="U80" s="38">
        <f t="shared" si="108"/>
        <v>0</v>
      </c>
      <c r="V80" s="38">
        <f t="shared" si="108"/>
        <v>180.77099999999999</v>
      </c>
      <c r="W80" s="38">
        <f t="shared" si="108"/>
        <v>0</v>
      </c>
      <c r="X80" s="38">
        <f t="shared" si="108"/>
        <v>182.27199999999999</v>
      </c>
      <c r="Y80" s="38">
        <f t="shared" si="108"/>
        <v>0</v>
      </c>
      <c r="Z80" s="38">
        <f t="shared" si="108"/>
        <v>1686.62</v>
      </c>
      <c r="AA80" s="38">
        <f t="shared" si="108"/>
        <v>0</v>
      </c>
      <c r="AB80" s="38">
        <f t="shared" si="108"/>
        <v>11773.816999999999</v>
      </c>
      <c r="AC80" s="38">
        <f t="shared" si="108"/>
        <v>0</v>
      </c>
      <c r="AD80" s="38">
        <f t="shared" si="108"/>
        <v>5395.8029999999999</v>
      </c>
      <c r="AE80" s="38">
        <f t="shared" si="108"/>
        <v>0</v>
      </c>
      <c r="AF80" s="38">
        <f t="shared" si="108"/>
        <v>10641.657999999999</v>
      </c>
      <c r="AG80" s="38">
        <f t="shared" si="108"/>
        <v>0</v>
      </c>
      <c r="AH80" s="26"/>
      <c r="AI80" s="55"/>
    </row>
    <row r="81" spans="1:35" s="1" customFormat="1" ht="30.75" customHeight="1" x14ac:dyDescent="0.25">
      <c r="A81" s="65"/>
      <c r="B81" s="69" t="s">
        <v>63</v>
      </c>
      <c r="C81" s="19" t="s">
        <v>28</v>
      </c>
      <c r="D81" s="20">
        <f>D82</f>
        <v>12046.900000000001</v>
      </c>
      <c r="E81" s="20">
        <f t="shared" ref="E81:G81" si="109">E82</f>
        <v>9163.42</v>
      </c>
      <c r="F81" s="20">
        <f t="shared" si="109"/>
        <v>9128.9419999999991</v>
      </c>
      <c r="G81" s="20">
        <f t="shared" si="109"/>
        <v>9128.9419999999991</v>
      </c>
      <c r="H81" s="20">
        <f t="shared" si="99"/>
        <v>75.778349616913872</v>
      </c>
      <c r="I81" s="20">
        <f t="shared" si="100"/>
        <v>99.623743100283519</v>
      </c>
      <c r="J81" s="21">
        <f t="shared" ref="J81:AG81" si="110">SUM(J82:J82)</f>
        <v>902.625</v>
      </c>
      <c r="K81" s="21">
        <f t="shared" si="110"/>
        <v>837.72</v>
      </c>
      <c r="L81" s="21">
        <f t="shared" si="110"/>
        <v>3086.0750000000003</v>
      </c>
      <c r="M81" s="21">
        <f t="shared" si="110"/>
        <v>2998.502</v>
      </c>
      <c r="N81" s="21">
        <f t="shared" si="110"/>
        <v>795.5</v>
      </c>
      <c r="O81" s="21">
        <f t="shared" si="110"/>
        <v>826.52</v>
      </c>
      <c r="P81" s="21">
        <f t="shared" si="110"/>
        <v>4379.2199999999993</v>
      </c>
      <c r="Q81" s="21">
        <f t="shared" si="110"/>
        <v>4466.2</v>
      </c>
      <c r="R81" s="21">
        <f t="shared" si="110"/>
        <v>363.6</v>
      </c>
      <c r="S81" s="21">
        <f t="shared" si="110"/>
        <v>0</v>
      </c>
      <c r="T81" s="21">
        <f t="shared" si="110"/>
        <v>145</v>
      </c>
      <c r="U81" s="21">
        <f t="shared" si="110"/>
        <v>0</v>
      </c>
      <c r="V81" s="21">
        <f t="shared" si="110"/>
        <v>0</v>
      </c>
      <c r="W81" s="21">
        <f t="shared" si="110"/>
        <v>0</v>
      </c>
      <c r="X81" s="21">
        <f t="shared" si="110"/>
        <v>0</v>
      </c>
      <c r="Y81" s="21">
        <f t="shared" si="110"/>
        <v>0</v>
      </c>
      <c r="Z81" s="21">
        <f t="shared" si="110"/>
        <v>1350</v>
      </c>
      <c r="AA81" s="21">
        <f t="shared" si="110"/>
        <v>0</v>
      </c>
      <c r="AB81" s="21">
        <f t="shared" si="110"/>
        <v>55</v>
      </c>
      <c r="AC81" s="21">
        <f t="shared" si="110"/>
        <v>0</v>
      </c>
      <c r="AD81" s="21">
        <f t="shared" si="110"/>
        <v>0</v>
      </c>
      <c r="AE81" s="21">
        <f t="shared" si="110"/>
        <v>0</v>
      </c>
      <c r="AF81" s="21">
        <f t="shared" si="110"/>
        <v>969.88000000000056</v>
      </c>
      <c r="AG81" s="21">
        <f t="shared" si="110"/>
        <v>0</v>
      </c>
      <c r="AH81" s="22"/>
    </row>
    <row r="82" spans="1:35" s="1" customFormat="1" ht="41.25" customHeight="1" x14ac:dyDescent="0.25">
      <c r="A82" s="66"/>
      <c r="B82" s="70"/>
      <c r="C82" s="24" t="s">
        <v>31</v>
      </c>
      <c r="D82" s="25">
        <f>SUM(J82,L82,N82,P82,R82,T82,V82,X82,Z82,AB82,AD82,AF82)</f>
        <v>12046.900000000001</v>
      </c>
      <c r="E82" s="25">
        <f>J82+L82+N82+P82</f>
        <v>9163.42</v>
      </c>
      <c r="F82" s="25">
        <f>G82</f>
        <v>9128.9419999999991</v>
      </c>
      <c r="G82" s="25">
        <f>SUM(K82,M82,O82,Q82,S82,U82,W82,Y82,AA82,AC82,AE82,AG82)</f>
        <v>9128.9419999999991</v>
      </c>
      <c r="H82" s="25">
        <f t="shared" si="99"/>
        <v>75.778349616913872</v>
      </c>
      <c r="I82" s="25">
        <f t="shared" si="100"/>
        <v>99.623743100283519</v>
      </c>
      <c r="J82" s="38">
        <v>902.625</v>
      </c>
      <c r="K82" s="38">
        <v>837.72</v>
      </c>
      <c r="L82" s="38">
        <f>216.4+2869.675</f>
        <v>3086.0750000000003</v>
      </c>
      <c r="M82" s="38">
        <v>2998.502</v>
      </c>
      <c r="N82" s="38">
        <f>311+484.5</f>
        <v>795.5</v>
      </c>
      <c r="O82" s="38">
        <f>515.52+311</f>
        <v>826.52</v>
      </c>
      <c r="P82" s="38">
        <f>3894.72+484.5</f>
        <v>4379.2199999999993</v>
      </c>
      <c r="Q82" s="38">
        <v>4466.2</v>
      </c>
      <c r="R82" s="38">
        <f>580-216.4</f>
        <v>363.6</v>
      </c>
      <c r="S82" s="38">
        <v>0</v>
      </c>
      <c r="T82" s="38">
        <v>145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1350</v>
      </c>
      <c r="AA82" s="38">
        <v>0</v>
      </c>
      <c r="AB82" s="38">
        <v>55</v>
      </c>
      <c r="AC82" s="38">
        <v>0</v>
      </c>
      <c r="AD82" s="38">
        <v>0</v>
      </c>
      <c r="AE82" s="38">
        <v>0</v>
      </c>
      <c r="AF82" s="38">
        <f>1753.2+731+2380.4-3894.72</f>
        <v>969.88000000000056</v>
      </c>
      <c r="AG82" s="38">
        <v>0</v>
      </c>
      <c r="AH82" s="26"/>
    </row>
    <row r="83" spans="1:35" s="1" customFormat="1" ht="23.25" customHeight="1" x14ac:dyDescent="0.25">
      <c r="A83" s="65"/>
      <c r="B83" s="71" t="s">
        <v>64</v>
      </c>
      <c r="C83" s="19" t="s">
        <v>28</v>
      </c>
      <c r="D83" s="20">
        <f>D84</f>
        <v>1000</v>
      </c>
      <c r="E83" s="20">
        <f t="shared" ref="E83:G89" si="111">E84</f>
        <v>8.4</v>
      </c>
      <c r="F83" s="20">
        <f t="shared" si="111"/>
        <v>8.4</v>
      </c>
      <c r="G83" s="20">
        <f t="shared" si="111"/>
        <v>8.4</v>
      </c>
      <c r="H83" s="20">
        <f t="shared" si="99"/>
        <v>0.84000000000000008</v>
      </c>
      <c r="I83" s="20">
        <f t="shared" si="100"/>
        <v>100</v>
      </c>
      <c r="J83" s="21">
        <f t="shared" ref="J83:AG89" si="112">SUM(J84:J84)</f>
        <v>0</v>
      </c>
      <c r="K83" s="21">
        <f t="shared" si="112"/>
        <v>0</v>
      </c>
      <c r="L83" s="21">
        <f t="shared" si="112"/>
        <v>0</v>
      </c>
      <c r="M83" s="21">
        <f t="shared" si="112"/>
        <v>0</v>
      </c>
      <c r="N83" s="21">
        <f t="shared" si="112"/>
        <v>8.4</v>
      </c>
      <c r="O83" s="21">
        <f t="shared" si="112"/>
        <v>8.4</v>
      </c>
      <c r="P83" s="21">
        <f t="shared" si="112"/>
        <v>0</v>
      </c>
      <c r="Q83" s="21">
        <f t="shared" si="112"/>
        <v>0</v>
      </c>
      <c r="R83" s="21">
        <f t="shared" si="112"/>
        <v>0</v>
      </c>
      <c r="S83" s="21">
        <f t="shared" si="112"/>
        <v>0</v>
      </c>
      <c r="T83" s="21">
        <f t="shared" si="112"/>
        <v>0</v>
      </c>
      <c r="U83" s="21">
        <f t="shared" si="112"/>
        <v>0</v>
      </c>
      <c r="V83" s="21">
        <f t="shared" si="112"/>
        <v>0</v>
      </c>
      <c r="W83" s="21">
        <f t="shared" si="112"/>
        <v>0</v>
      </c>
      <c r="X83" s="21">
        <f t="shared" si="112"/>
        <v>0</v>
      </c>
      <c r="Y83" s="21">
        <f t="shared" si="112"/>
        <v>0</v>
      </c>
      <c r="Z83" s="21">
        <f t="shared" si="112"/>
        <v>0</v>
      </c>
      <c r="AA83" s="21">
        <f t="shared" si="112"/>
        <v>0</v>
      </c>
      <c r="AB83" s="21">
        <f t="shared" si="112"/>
        <v>991.6</v>
      </c>
      <c r="AC83" s="21">
        <f t="shared" si="112"/>
        <v>0</v>
      </c>
      <c r="AD83" s="21">
        <f t="shared" si="112"/>
        <v>0</v>
      </c>
      <c r="AE83" s="21">
        <f t="shared" si="112"/>
        <v>0</v>
      </c>
      <c r="AF83" s="21">
        <f t="shared" si="112"/>
        <v>0</v>
      </c>
      <c r="AG83" s="21">
        <f t="shared" si="112"/>
        <v>0</v>
      </c>
      <c r="AH83" s="22"/>
    </row>
    <row r="84" spans="1:35" s="1" customFormat="1" ht="67.5" customHeight="1" x14ac:dyDescent="0.25">
      <c r="A84" s="66"/>
      <c r="B84" s="71"/>
      <c r="C84" s="24" t="s">
        <v>31</v>
      </c>
      <c r="D84" s="25">
        <f>SUM(J84,L84,N84,P84,R84,T84,V84,X84,Z84,AB84,AD84,AF84)</f>
        <v>1000</v>
      </c>
      <c r="E84" s="25">
        <f>J84+L84+N84</f>
        <v>8.4</v>
      </c>
      <c r="F84" s="25">
        <f>G84</f>
        <v>8.4</v>
      </c>
      <c r="G84" s="25">
        <f>SUM(K84,M84,O84,Q84,S84,U84,W84,Y84,AA84,AC84,AE84,AG84)</f>
        <v>8.4</v>
      </c>
      <c r="H84" s="25">
        <f t="shared" si="99"/>
        <v>0.84000000000000008</v>
      </c>
      <c r="I84" s="25">
        <f t="shared" si="100"/>
        <v>100</v>
      </c>
      <c r="J84" s="38">
        <v>0</v>
      </c>
      <c r="K84" s="38">
        <v>0</v>
      </c>
      <c r="L84" s="38">
        <v>0</v>
      </c>
      <c r="M84" s="38">
        <v>0</v>
      </c>
      <c r="N84" s="38">
        <v>8.4</v>
      </c>
      <c r="O84" s="38">
        <v>8.4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f>1000-8.4</f>
        <v>991.6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26"/>
    </row>
    <row r="85" spans="1:35" s="1" customFormat="1" ht="23.25" customHeight="1" x14ac:dyDescent="0.25">
      <c r="A85" s="65"/>
      <c r="B85" s="71" t="s">
        <v>65</v>
      </c>
      <c r="C85" s="19" t="s">
        <v>28</v>
      </c>
      <c r="D85" s="20">
        <f>D86</f>
        <v>6407.2979999999989</v>
      </c>
      <c r="E85" s="20">
        <f t="shared" si="111"/>
        <v>2823.2889999999998</v>
      </c>
      <c r="F85" s="20">
        <f t="shared" si="111"/>
        <v>2823.28</v>
      </c>
      <c r="G85" s="20">
        <f t="shared" si="111"/>
        <v>2823.28</v>
      </c>
      <c r="H85" s="20">
        <f t="shared" si="99"/>
        <v>44.063503835782271</v>
      </c>
      <c r="I85" s="20">
        <f t="shared" si="100"/>
        <v>99.999681222857475</v>
      </c>
      <c r="J85" s="21">
        <f t="shared" si="112"/>
        <v>507.31400000000002</v>
      </c>
      <c r="K85" s="21">
        <f t="shared" si="112"/>
        <v>507.31</v>
      </c>
      <c r="L85" s="21">
        <f t="shared" si="112"/>
        <v>501.56599999999997</v>
      </c>
      <c r="M85" s="21">
        <f t="shared" si="112"/>
        <v>0</v>
      </c>
      <c r="N85" s="21">
        <f t="shared" si="112"/>
        <v>1313.865</v>
      </c>
      <c r="O85" s="21">
        <f t="shared" si="112"/>
        <v>1815.43</v>
      </c>
      <c r="P85" s="21">
        <f t="shared" si="112"/>
        <v>500.54399999999998</v>
      </c>
      <c r="Q85" s="21">
        <f t="shared" si="112"/>
        <v>500.54</v>
      </c>
      <c r="R85" s="21">
        <f t="shared" si="112"/>
        <v>790.45699999999999</v>
      </c>
      <c r="S85" s="21">
        <f t="shared" si="112"/>
        <v>0</v>
      </c>
      <c r="T85" s="21">
        <f t="shared" si="112"/>
        <v>886.39099999999996</v>
      </c>
      <c r="U85" s="21">
        <f t="shared" si="112"/>
        <v>0</v>
      </c>
      <c r="V85" s="21">
        <f t="shared" si="112"/>
        <v>180.77099999999999</v>
      </c>
      <c r="W85" s="21">
        <f t="shared" si="112"/>
        <v>0</v>
      </c>
      <c r="X85" s="21">
        <f t="shared" si="112"/>
        <v>182.27199999999999</v>
      </c>
      <c r="Y85" s="21">
        <f t="shared" si="112"/>
        <v>0</v>
      </c>
      <c r="Z85" s="21">
        <f t="shared" si="112"/>
        <v>336.62</v>
      </c>
      <c r="AA85" s="21">
        <f t="shared" si="112"/>
        <v>0</v>
      </c>
      <c r="AB85" s="21">
        <f t="shared" si="112"/>
        <v>427.21699999999998</v>
      </c>
      <c r="AC85" s="21">
        <f t="shared" si="112"/>
        <v>0</v>
      </c>
      <c r="AD85" s="21">
        <f t="shared" si="112"/>
        <v>395.803</v>
      </c>
      <c r="AE85" s="21">
        <f t="shared" si="112"/>
        <v>0</v>
      </c>
      <c r="AF85" s="21">
        <f t="shared" si="112"/>
        <v>384.47800000000001</v>
      </c>
      <c r="AG85" s="21">
        <f t="shared" si="112"/>
        <v>0</v>
      </c>
      <c r="AH85" s="22"/>
    </row>
    <row r="86" spans="1:35" s="1" customFormat="1" ht="48.75" customHeight="1" x14ac:dyDescent="0.25">
      <c r="A86" s="66"/>
      <c r="B86" s="71"/>
      <c r="C86" s="24" t="s">
        <v>31</v>
      </c>
      <c r="D86" s="25">
        <f>SUM(J86,L86,N86,P86,R86,T86,V86,X86,Z86,AB86,AD86,AF86)</f>
        <v>6407.2979999999989</v>
      </c>
      <c r="E86" s="25">
        <f>J86+L86+N86+P86</f>
        <v>2823.2889999999998</v>
      </c>
      <c r="F86" s="25">
        <f>G86</f>
        <v>2823.28</v>
      </c>
      <c r="G86" s="25">
        <f>SUM(K86,M86,O86,Q86,S86,U86,W86,Y86,AA86,AC86,AE86,AG86)</f>
        <v>2823.28</v>
      </c>
      <c r="H86" s="25">
        <f t="shared" si="99"/>
        <v>44.063503835782271</v>
      </c>
      <c r="I86" s="25">
        <f t="shared" si="100"/>
        <v>99.999681222857475</v>
      </c>
      <c r="J86" s="38">
        <v>507.31400000000002</v>
      </c>
      <c r="K86" s="38">
        <v>507.31</v>
      </c>
      <c r="L86" s="38">
        <v>501.56599999999997</v>
      </c>
      <c r="M86" s="38">
        <v>0</v>
      </c>
      <c r="N86" s="38">
        <f>812.3+501.565</f>
        <v>1313.865</v>
      </c>
      <c r="O86" s="38">
        <v>1815.43</v>
      </c>
      <c r="P86" s="38">
        <v>500.54399999999998</v>
      </c>
      <c r="Q86" s="38">
        <v>500.54</v>
      </c>
      <c r="R86" s="38">
        <v>790.45699999999999</v>
      </c>
      <c r="S86" s="38">
        <v>0</v>
      </c>
      <c r="T86" s="38">
        <v>886.39099999999996</v>
      </c>
      <c r="U86" s="38">
        <v>0</v>
      </c>
      <c r="V86" s="38">
        <v>180.77099999999999</v>
      </c>
      <c r="W86" s="38">
        <v>0</v>
      </c>
      <c r="X86" s="38">
        <v>182.27199999999999</v>
      </c>
      <c r="Y86" s="38">
        <v>0</v>
      </c>
      <c r="Z86" s="38">
        <v>336.62</v>
      </c>
      <c r="AA86" s="38">
        <v>0</v>
      </c>
      <c r="AB86" s="38">
        <v>427.21699999999998</v>
      </c>
      <c r="AC86" s="38">
        <v>0</v>
      </c>
      <c r="AD86" s="38">
        <v>395.803</v>
      </c>
      <c r="AE86" s="38">
        <v>0</v>
      </c>
      <c r="AF86" s="38">
        <v>384.47800000000001</v>
      </c>
      <c r="AG86" s="38">
        <v>0</v>
      </c>
      <c r="AH86" s="26"/>
    </row>
    <row r="87" spans="1:35" s="1" customFormat="1" ht="23.25" customHeight="1" x14ac:dyDescent="0.25">
      <c r="A87" s="65"/>
      <c r="B87" s="71" t="s">
        <v>66</v>
      </c>
      <c r="C87" s="19" t="s">
        <v>28</v>
      </c>
      <c r="D87" s="20">
        <f>D88</f>
        <v>56087.298999999999</v>
      </c>
      <c r="E87" s="20">
        <f t="shared" si="111"/>
        <v>21966.367999999999</v>
      </c>
      <c r="F87" s="20">
        <f t="shared" si="111"/>
        <v>17070.242999999999</v>
      </c>
      <c r="G87" s="20">
        <f t="shared" si="111"/>
        <v>17070.242999999999</v>
      </c>
      <c r="H87" s="20">
        <f t="shared" si="99"/>
        <v>30.435131133699265</v>
      </c>
      <c r="I87" s="20">
        <f t="shared" si="100"/>
        <v>77.710812274473412</v>
      </c>
      <c r="J87" s="21">
        <f t="shared" si="112"/>
        <v>4918.777</v>
      </c>
      <c r="K87" s="21">
        <f t="shared" si="112"/>
        <v>1264.77</v>
      </c>
      <c r="L87" s="21">
        <f t="shared" si="112"/>
        <v>5887.23</v>
      </c>
      <c r="M87" s="21">
        <f t="shared" si="112"/>
        <v>4835.0029999999997</v>
      </c>
      <c r="N87" s="21">
        <f t="shared" si="112"/>
        <v>5601.8819999999996</v>
      </c>
      <c r="O87" s="21">
        <f t="shared" si="112"/>
        <v>5362.5</v>
      </c>
      <c r="P87" s="21">
        <f t="shared" si="112"/>
        <v>5558.4790000000003</v>
      </c>
      <c r="Q87" s="21">
        <f t="shared" si="112"/>
        <v>5607.97</v>
      </c>
      <c r="R87" s="21">
        <f t="shared" si="112"/>
        <v>5533.6310000000003</v>
      </c>
      <c r="S87" s="21">
        <f t="shared" si="112"/>
        <v>0</v>
      </c>
      <c r="T87" s="21">
        <f t="shared" si="112"/>
        <v>4000</v>
      </c>
      <c r="U87" s="21">
        <f t="shared" si="112"/>
        <v>0</v>
      </c>
      <c r="V87" s="21">
        <f t="shared" si="112"/>
        <v>0</v>
      </c>
      <c r="W87" s="21">
        <f t="shared" si="112"/>
        <v>0</v>
      </c>
      <c r="X87" s="21">
        <f t="shared" si="112"/>
        <v>0</v>
      </c>
      <c r="Y87" s="21">
        <f t="shared" si="112"/>
        <v>0</v>
      </c>
      <c r="Z87" s="21">
        <f t="shared" si="112"/>
        <v>0</v>
      </c>
      <c r="AA87" s="21">
        <f t="shared" si="112"/>
        <v>0</v>
      </c>
      <c r="AB87" s="21">
        <f t="shared" si="112"/>
        <v>10300</v>
      </c>
      <c r="AC87" s="21">
        <f t="shared" si="112"/>
        <v>0</v>
      </c>
      <c r="AD87" s="21">
        <f t="shared" si="112"/>
        <v>5000</v>
      </c>
      <c r="AE87" s="21">
        <f t="shared" si="112"/>
        <v>0</v>
      </c>
      <c r="AF87" s="21">
        <f t="shared" si="112"/>
        <v>9287.2999999999993</v>
      </c>
      <c r="AG87" s="21">
        <f t="shared" si="112"/>
        <v>0</v>
      </c>
      <c r="AH87" s="22"/>
    </row>
    <row r="88" spans="1:35" s="1" customFormat="1" ht="41.25" customHeight="1" x14ac:dyDescent="0.25">
      <c r="A88" s="66"/>
      <c r="B88" s="71"/>
      <c r="C88" s="24" t="s">
        <v>31</v>
      </c>
      <c r="D88" s="25">
        <f>SUM(J88,L88,N88,P88,R88,T88,V88,X88,Z88,AB88,AD88,AF88)</f>
        <v>56087.298999999999</v>
      </c>
      <c r="E88" s="25">
        <f>J88+L88+N88+P88</f>
        <v>21966.367999999999</v>
      </c>
      <c r="F88" s="25">
        <f>G88</f>
        <v>17070.242999999999</v>
      </c>
      <c r="G88" s="25">
        <f>SUM(K88,M88,O88,Q88,S88,U88,W88,Y88,AA88,AC88,AE88,AG88)</f>
        <v>17070.242999999999</v>
      </c>
      <c r="H88" s="25">
        <f t="shared" si="99"/>
        <v>30.435131133699265</v>
      </c>
      <c r="I88" s="25">
        <f t="shared" si="100"/>
        <v>77.710812274473412</v>
      </c>
      <c r="J88" s="38">
        <v>4918.777</v>
      </c>
      <c r="K88" s="38">
        <v>1264.77</v>
      </c>
      <c r="L88" s="38">
        <v>5887.23</v>
      </c>
      <c r="M88" s="38">
        <v>4835.0029999999997</v>
      </c>
      <c r="N88" s="38">
        <v>5601.8819999999996</v>
      </c>
      <c r="O88" s="38">
        <v>5362.5</v>
      </c>
      <c r="P88" s="38">
        <v>5558.4790000000003</v>
      </c>
      <c r="Q88" s="38">
        <v>5607.97</v>
      </c>
      <c r="R88" s="38">
        <v>5533.6310000000003</v>
      </c>
      <c r="S88" s="38">
        <v>0</v>
      </c>
      <c r="T88" s="38">
        <v>4000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10300</v>
      </c>
      <c r="AC88" s="38">
        <v>0</v>
      </c>
      <c r="AD88" s="38">
        <v>5000</v>
      </c>
      <c r="AE88" s="38">
        <v>0</v>
      </c>
      <c r="AF88" s="38">
        <v>9287.2999999999993</v>
      </c>
      <c r="AG88" s="38">
        <v>0</v>
      </c>
      <c r="AH88" s="26"/>
    </row>
    <row r="89" spans="1:35" s="1" customFormat="1" ht="23.25" customHeight="1" x14ac:dyDescent="0.25">
      <c r="A89" s="65"/>
      <c r="B89" s="71" t="s">
        <v>67</v>
      </c>
      <c r="C89" s="19" t="s">
        <v>28</v>
      </c>
      <c r="D89" s="20">
        <f>D90</f>
        <v>7859.3</v>
      </c>
      <c r="E89" s="20">
        <f t="shared" si="111"/>
        <v>7859.3</v>
      </c>
      <c r="F89" s="20">
        <f t="shared" si="111"/>
        <v>7859.3</v>
      </c>
      <c r="G89" s="20">
        <f t="shared" si="111"/>
        <v>7859.3</v>
      </c>
      <c r="H89" s="20">
        <f t="shared" si="99"/>
        <v>100</v>
      </c>
      <c r="I89" s="20">
        <f t="shared" si="100"/>
        <v>100</v>
      </c>
      <c r="J89" s="21">
        <f t="shared" si="112"/>
        <v>7859.3</v>
      </c>
      <c r="K89" s="21">
        <f t="shared" si="112"/>
        <v>7859.3</v>
      </c>
      <c r="L89" s="21">
        <f t="shared" si="112"/>
        <v>0</v>
      </c>
      <c r="M89" s="21">
        <f t="shared" si="112"/>
        <v>0</v>
      </c>
      <c r="N89" s="21">
        <f t="shared" si="112"/>
        <v>0</v>
      </c>
      <c r="O89" s="21">
        <f t="shared" si="112"/>
        <v>0</v>
      </c>
      <c r="P89" s="21">
        <f t="shared" si="112"/>
        <v>0</v>
      </c>
      <c r="Q89" s="21">
        <f t="shared" si="112"/>
        <v>0</v>
      </c>
      <c r="R89" s="21">
        <f t="shared" si="112"/>
        <v>0</v>
      </c>
      <c r="S89" s="21">
        <f t="shared" si="112"/>
        <v>0</v>
      </c>
      <c r="T89" s="21">
        <f t="shared" si="112"/>
        <v>0</v>
      </c>
      <c r="U89" s="21">
        <f t="shared" si="112"/>
        <v>0</v>
      </c>
      <c r="V89" s="21">
        <f t="shared" si="112"/>
        <v>0</v>
      </c>
      <c r="W89" s="21">
        <f t="shared" si="112"/>
        <v>0</v>
      </c>
      <c r="X89" s="21">
        <f t="shared" si="112"/>
        <v>0</v>
      </c>
      <c r="Y89" s="21">
        <f t="shared" si="112"/>
        <v>0</v>
      </c>
      <c r="Z89" s="21">
        <f t="shared" si="112"/>
        <v>0</v>
      </c>
      <c r="AA89" s="21">
        <f t="shared" si="112"/>
        <v>0</v>
      </c>
      <c r="AB89" s="21">
        <f t="shared" si="112"/>
        <v>0</v>
      </c>
      <c r="AC89" s="21">
        <f t="shared" si="112"/>
        <v>0</v>
      </c>
      <c r="AD89" s="21">
        <f t="shared" si="112"/>
        <v>0</v>
      </c>
      <c r="AE89" s="21">
        <f t="shared" si="112"/>
        <v>0</v>
      </c>
      <c r="AF89" s="21">
        <f t="shared" si="112"/>
        <v>0</v>
      </c>
      <c r="AG89" s="21">
        <f t="shared" si="112"/>
        <v>0</v>
      </c>
      <c r="AH89" s="22"/>
    </row>
    <row r="90" spans="1:35" s="1" customFormat="1" ht="41.25" customHeight="1" x14ac:dyDescent="0.25">
      <c r="A90" s="66"/>
      <c r="B90" s="71"/>
      <c r="C90" s="24" t="s">
        <v>31</v>
      </c>
      <c r="D90" s="25">
        <f>SUM(J90,L90,N90,P90,R90,T90,V90,X90,Z90,AB90,AD90,AF90)</f>
        <v>7859.3</v>
      </c>
      <c r="E90" s="25">
        <f>J90</f>
        <v>7859.3</v>
      </c>
      <c r="F90" s="25">
        <f>G90</f>
        <v>7859.3</v>
      </c>
      <c r="G90" s="25">
        <f>SUM(K90,M90,O90,Q90,S90,U90,W90,Y90,AA90,AC90,AE90,AG90)</f>
        <v>7859.3</v>
      </c>
      <c r="H90" s="25">
        <f t="shared" si="99"/>
        <v>100</v>
      </c>
      <c r="I90" s="25">
        <f t="shared" si="100"/>
        <v>100</v>
      </c>
      <c r="J90" s="38">
        <v>7859.3</v>
      </c>
      <c r="K90" s="38">
        <v>7859.3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G90" s="38">
        <v>0</v>
      </c>
      <c r="AH90" s="26"/>
    </row>
    <row r="91" spans="1:35" s="1" customFormat="1" ht="33" customHeight="1" x14ac:dyDescent="0.25">
      <c r="A91" s="58"/>
      <c r="B91" s="62" t="s">
        <v>68</v>
      </c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4"/>
      <c r="AH91" s="26"/>
    </row>
    <row r="92" spans="1:35" s="56" customFormat="1" ht="55.5" customHeight="1" x14ac:dyDescent="0.25">
      <c r="A92" s="65" t="s">
        <v>69</v>
      </c>
      <c r="B92" s="67" t="s">
        <v>70</v>
      </c>
      <c r="C92" s="19" t="s">
        <v>28</v>
      </c>
      <c r="D92" s="20">
        <f>D93</f>
        <v>71939.016000000003</v>
      </c>
      <c r="E92" s="20">
        <f t="shared" ref="E92:G92" si="113">E93</f>
        <v>7579.8529999999992</v>
      </c>
      <c r="F92" s="20">
        <f t="shared" si="113"/>
        <v>7579.8530000000001</v>
      </c>
      <c r="G92" s="20">
        <f t="shared" si="113"/>
        <v>7579.8530000000001</v>
      </c>
      <c r="H92" s="20">
        <f t="shared" ref="H92:H97" si="114">IFERROR(G92/D92*100,0)</f>
        <v>10.536498024938233</v>
      </c>
      <c r="I92" s="20">
        <f t="shared" ref="I92:I97" si="115">IFERROR(G92/E92*100,0)</f>
        <v>100.00000000000003</v>
      </c>
      <c r="J92" s="21">
        <f t="shared" ref="J92:AG92" si="116">SUM(J93:J93)</f>
        <v>2080.7109999999998</v>
      </c>
      <c r="K92" s="21">
        <f t="shared" si="116"/>
        <v>2080.71</v>
      </c>
      <c r="L92" s="21">
        <f t="shared" si="116"/>
        <v>2341.0619999999999</v>
      </c>
      <c r="M92" s="21">
        <f t="shared" si="116"/>
        <v>2341.0630000000001</v>
      </c>
      <c r="N92" s="21">
        <f t="shared" si="116"/>
        <v>3158.08</v>
      </c>
      <c r="O92" s="21">
        <f t="shared" si="116"/>
        <v>3158.08</v>
      </c>
      <c r="P92" s="21">
        <f t="shared" si="116"/>
        <v>500</v>
      </c>
      <c r="Q92" s="21">
        <f t="shared" si="116"/>
        <v>0</v>
      </c>
      <c r="R92" s="21">
        <f t="shared" si="116"/>
        <v>0</v>
      </c>
      <c r="S92" s="21">
        <f t="shared" si="116"/>
        <v>0</v>
      </c>
      <c r="T92" s="21">
        <f t="shared" si="116"/>
        <v>1297.72</v>
      </c>
      <c r="U92" s="21">
        <f t="shared" si="116"/>
        <v>0</v>
      </c>
      <c r="V92" s="21">
        <f t="shared" si="116"/>
        <v>0</v>
      </c>
      <c r="W92" s="21">
        <f t="shared" si="116"/>
        <v>0</v>
      </c>
      <c r="X92" s="21">
        <f t="shared" si="116"/>
        <v>58872.184999999998</v>
      </c>
      <c r="Y92" s="21">
        <f t="shared" si="116"/>
        <v>0</v>
      </c>
      <c r="Z92" s="21">
        <f t="shared" si="116"/>
        <v>0</v>
      </c>
      <c r="AA92" s="21">
        <f t="shared" si="116"/>
        <v>0</v>
      </c>
      <c r="AB92" s="21">
        <f t="shared" si="116"/>
        <v>0</v>
      </c>
      <c r="AC92" s="21">
        <f t="shared" si="116"/>
        <v>0</v>
      </c>
      <c r="AD92" s="21">
        <f t="shared" si="116"/>
        <v>0</v>
      </c>
      <c r="AE92" s="21">
        <f t="shared" si="116"/>
        <v>0</v>
      </c>
      <c r="AF92" s="21">
        <f t="shared" si="116"/>
        <v>3689.2579999999998</v>
      </c>
      <c r="AG92" s="21">
        <f t="shared" si="116"/>
        <v>0</v>
      </c>
      <c r="AH92" s="22"/>
      <c r="AI92" s="55"/>
    </row>
    <row r="93" spans="1:35" s="57" customFormat="1" ht="78.75" customHeight="1" x14ac:dyDescent="0.25">
      <c r="A93" s="66"/>
      <c r="B93" s="68"/>
      <c r="C93" s="24" t="s">
        <v>31</v>
      </c>
      <c r="D93" s="25">
        <f>SUM(J93,L93,N93,P93,R93,T93,V93,X93,Z93,AB93,AD93,AF93)</f>
        <v>71939.016000000003</v>
      </c>
      <c r="E93" s="25">
        <f>J93+L93+N93</f>
        <v>7579.8529999999992</v>
      </c>
      <c r="F93" s="25">
        <f>G93</f>
        <v>7579.8530000000001</v>
      </c>
      <c r="G93" s="25">
        <f>SUM(K93,M93,O93,Q93,S93,U93,W93,Y93,AA93,AC93,AE93,AG93)</f>
        <v>7579.8530000000001</v>
      </c>
      <c r="H93" s="25">
        <f t="shared" si="114"/>
        <v>10.536498024938233</v>
      </c>
      <c r="I93" s="25">
        <f>IFERROR(G93/E93*100,0)</f>
        <v>100.00000000000003</v>
      </c>
      <c r="J93" s="38">
        <f>J95+J97</f>
        <v>2080.7109999999998</v>
      </c>
      <c r="K93" s="38">
        <f t="shared" ref="K93:AG93" si="117">K95+K97</f>
        <v>2080.71</v>
      </c>
      <c r="L93" s="38">
        <f t="shared" si="117"/>
        <v>2341.0619999999999</v>
      </c>
      <c r="M93" s="38">
        <f t="shared" si="117"/>
        <v>2341.0630000000001</v>
      </c>
      <c r="N93" s="38">
        <f t="shared" si="117"/>
        <v>3158.08</v>
      </c>
      <c r="O93" s="38">
        <f t="shared" si="117"/>
        <v>3158.08</v>
      </c>
      <c r="P93" s="38">
        <f t="shared" si="117"/>
        <v>500</v>
      </c>
      <c r="Q93" s="38">
        <f t="shared" si="117"/>
        <v>0</v>
      </c>
      <c r="R93" s="38">
        <f t="shared" si="117"/>
        <v>0</v>
      </c>
      <c r="S93" s="38">
        <f t="shared" si="117"/>
        <v>0</v>
      </c>
      <c r="T93" s="38">
        <f t="shared" si="117"/>
        <v>1297.72</v>
      </c>
      <c r="U93" s="38">
        <f t="shared" si="117"/>
        <v>0</v>
      </c>
      <c r="V93" s="38">
        <f t="shared" si="117"/>
        <v>0</v>
      </c>
      <c r="W93" s="38">
        <f t="shared" si="117"/>
        <v>0</v>
      </c>
      <c r="X93" s="38">
        <f t="shared" si="117"/>
        <v>58872.184999999998</v>
      </c>
      <c r="Y93" s="38">
        <f t="shared" si="117"/>
        <v>0</v>
      </c>
      <c r="Z93" s="38">
        <f t="shared" si="117"/>
        <v>0</v>
      </c>
      <c r="AA93" s="38">
        <f t="shared" si="117"/>
        <v>0</v>
      </c>
      <c r="AB93" s="38">
        <f t="shared" si="117"/>
        <v>0</v>
      </c>
      <c r="AC93" s="38">
        <f t="shared" si="117"/>
        <v>0</v>
      </c>
      <c r="AD93" s="38">
        <f t="shared" si="117"/>
        <v>0</v>
      </c>
      <c r="AE93" s="38">
        <f t="shared" si="117"/>
        <v>0</v>
      </c>
      <c r="AF93" s="38">
        <f t="shared" si="117"/>
        <v>3689.2579999999998</v>
      </c>
      <c r="AG93" s="38">
        <f t="shared" si="117"/>
        <v>0</v>
      </c>
      <c r="AH93" s="26"/>
      <c r="AI93" s="55"/>
    </row>
    <row r="94" spans="1:35" s="1" customFormat="1" ht="60" customHeight="1" x14ac:dyDescent="0.25">
      <c r="A94" s="65"/>
      <c r="B94" s="69" t="s">
        <v>71</v>
      </c>
      <c r="C94" s="19" t="s">
        <v>28</v>
      </c>
      <c r="D94" s="20">
        <f>D95</f>
        <v>62555.202999999994</v>
      </c>
      <c r="E94" s="20">
        <f t="shared" ref="E94:G94" si="118">E95</f>
        <v>7579.8529999999992</v>
      </c>
      <c r="F94" s="20">
        <f t="shared" si="118"/>
        <v>7579.8530000000001</v>
      </c>
      <c r="G94" s="20">
        <f t="shared" si="118"/>
        <v>7579.8530000000001</v>
      </c>
      <c r="H94" s="20">
        <f t="shared" si="114"/>
        <v>12.11706242884385</v>
      </c>
      <c r="I94" s="20">
        <f t="shared" si="115"/>
        <v>100.00000000000003</v>
      </c>
      <c r="J94" s="21">
        <f t="shared" ref="J94:AG94" si="119">SUM(J95:J95)</f>
        <v>2080.7109999999998</v>
      </c>
      <c r="K94" s="21">
        <f t="shared" si="119"/>
        <v>2080.71</v>
      </c>
      <c r="L94" s="21">
        <f t="shared" si="119"/>
        <v>2341.0619999999999</v>
      </c>
      <c r="M94" s="21">
        <f t="shared" si="119"/>
        <v>2341.0630000000001</v>
      </c>
      <c r="N94" s="21">
        <f t="shared" si="119"/>
        <v>3158.08</v>
      </c>
      <c r="O94" s="21">
        <f t="shared" si="119"/>
        <v>3158.08</v>
      </c>
      <c r="P94" s="21">
        <f t="shared" si="119"/>
        <v>500</v>
      </c>
      <c r="Q94" s="21">
        <f t="shared" si="119"/>
        <v>0</v>
      </c>
      <c r="R94" s="21">
        <f t="shared" si="119"/>
        <v>0</v>
      </c>
      <c r="S94" s="21">
        <f t="shared" si="119"/>
        <v>0</v>
      </c>
      <c r="T94" s="21">
        <f t="shared" si="119"/>
        <v>1297.72</v>
      </c>
      <c r="U94" s="21">
        <f t="shared" si="119"/>
        <v>0</v>
      </c>
      <c r="V94" s="21">
        <f t="shared" si="119"/>
        <v>0</v>
      </c>
      <c r="W94" s="21">
        <f t="shared" si="119"/>
        <v>0</v>
      </c>
      <c r="X94" s="21">
        <f t="shared" si="119"/>
        <v>53177.63</v>
      </c>
      <c r="Y94" s="21">
        <f t="shared" si="119"/>
        <v>0</v>
      </c>
      <c r="Z94" s="21">
        <f t="shared" si="119"/>
        <v>0</v>
      </c>
      <c r="AA94" s="21">
        <f t="shared" si="119"/>
        <v>0</v>
      </c>
      <c r="AB94" s="21">
        <f t="shared" si="119"/>
        <v>0</v>
      </c>
      <c r="AC94" s="21">
        <f t="shared" si="119"/>
        <v>0</v>
      </c>
      <c r="AD94" s="21">
        <f t="shared" si="119"/>
        <v>0</v>
      </c>
      <c r="AE94" s="21">
        <f t="shared" si="119"/>
        <v>0</v>
      </c>
      <c r="AF94" s="21">
        <f t="shared" si="119"/>
        <v>0</v>
      </c>
      <c r="AG94" s="21">
        <f t="shared" si="119"/>
        <v>0</v>
      </c>
      <c r="AH94" s="22"/>
    </row>
    <row r="95" spans="1:35" s="1" customFormat="1" ht="48" customHeight="1" x14ac:dyDescent="0.25">
      <c r="A95" s="66"/>
      <c r="B95" s="70"/>
      <c r="C95" s="24" t="s">
        <v>31</v>
      </c>
      <c r="D95" s="25">
        <f>SUM(J95,L95,N95,P95,R95,T95,V95,X95,Z95,AB95,AD95,AF95)</f>
        <v>62555.202999999994</v>
      </c>
      <c r="E95" s="25">
        <f>J95+L95+N95</f>
        <v>7579.8529999999992</v>
      </c>
      <c r="F95" s="25">
        <f>G95</f>
        <v>7579.8530000000001</v>
      </c>
      <c r="G95" s="25">
        <f>SUM(K95,M95,O95,Q95,S95,U95,W95,Y95,AA95,AC95,AE95,AG95)</f>
        <v>7579.8530000000001</v>
      </c>
      <c r="H95" s="25">
        <f t="shared" si="114"/>
        <v>12.11706242884385</v>
      </c>
      <c r="I95" s="25">
        <f t="shared" si="115"/>
        <v>100.00000000000003</v>
      </c>
      <c r="J95" s="38">
        <v>2080.7109999999998</v>
      </c>
      <c r="K95" s="38">
        <v>2080.71</v>
      </c>
      <c r="L95" s="38">
        <f>1435.773+905.289</f>
        <v>2341.0619999999999</v>
      </c>
      <c r="M95" s="38">
        <v>2341.0630000000001</v>
      </c>
      <c r="N95" s="38">
        <v>3158.08</v>
      </c>
      <c r="O95" s="38">
        <v>3158.08</v>
      </c>
      <c r="P95" s="38">
        <v>500</v>
      </c>
      <c r="Q95" s="38">
        <v>0</v>
      </c>
      <c r="R95" s="38">
        <v>0</v>
      </c>
      <c r="S95" s="38">
        <v>0</v>
      </c>
      <c r="T95" s="38">
        <v>1297.72</v>
      </c>
      <c r="U95" s="38">
        <v>0</v>
      </c>
      <c r="V95" s="38">
        <v>0</v>
      </c>
      <c r="W95" s="38">
        <v>0</v>
      </c>
      <c r="X95" s="38">
        <f>12421.63+44756-4000</f>
        <v>53177.63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G95" s="38">
        <v>0</v>
      </c>
      <c r="AH95" s="26"/>
    </row>
    <row r="96" spans="1:35" s="1" customFormat="1" ht="23.25" customHeight="1" x14ac:dyDescent="0.25">
      <c r="A96" s="65"/>
      <c r="B96" s="71" t="s">
        <v>72</v>
      </c>
      <c r="C96" s="19" t="s">
        <v>28</v>
      </c>
      <c r="D96" s="20">
        <f>D97</f>
        <v>9383.8130000000001</v>
      </c>
      <c r="E96" s="20">
        <f t="shared" ref="E96:G96" si="120">E97</f>
        <v>0</v>
      </c>
      <c r="F96" s="20">
        <f t="shared" si="120"/>
        <v>0</v>
      </c>
      <c r="G96" s="20">
        <f t="shared" si="120"/>
        <v>0</v>
      </c>
      <c r="H96" s="20">
        <f t="shared" si="114"/>
        <v>0</v>
      </c>
      <c r="I96" s="20">
        <f t="shared" si="115"/>
        <v>0</v>
      </c>
      <c r="J96" s="21">
        <f t="shared" ref="J96:AG96" si="121">SUM(J97:J97)</f>
        <v>0</v>
      </c>
      <c r="K96" s="21">
        <f t="shared" si="121"/>
        <v>0</v>
      </c>
      <c r="L96" s="21">
        <f t="shared" si="121"/>
        <v>0</v>
      </c>
      <c r="M96" s="21">
        <f t="shared" si="121"/>
        <v>0</v>
      </c>
      <c r="N96" s="21">
        <f t="shared" si="121"/>
        <v>0</v>
      </c>
      <c r="O96" s="21">
        <f t="shared" si="121"/>
        <v>0</v>
      </c>
      <c r="P96" s="21">
        <f t="shared" si="121"/>
        <v>0</v>
      </c>
      <c r="Q96" s="21">
        <f t="shared" si="121"/>
        <v>0</v>
      </c>
      <c r="R96" s="21">
        <f t="shared" si="121"/>
        <v>0</v>
      </c>
      <c r="S96" s="21">
        <f t="shared" si="121"/>
        <v>0</v>
      </c>
      <c r="T96" s="21">
        <f t="shared" si="121"/>
        <v>0</v>
      </c>
      <c r="U96" s="21">
        <f t="shared" si="121"/>
        <v>0</v>
      </c>
      <c r="V96" s="21">
        <f t="shared" si="121"/>
        <v>0</v>
      </c>
      <c r="W96" s="21">
        <f t="shared" si="121"/>
        <v>0</v>
      </c>
      <c r="X96" s="21">
        <f t="shared" si="121"/>
        <v>5694.5550000000003</v>
      </c>
      <c r="Y96" s="21">
        <f t="shared" si="121"/>
        <v>0</v>
      </c>
      <c r="Z96" s="21">
        <f t="shared" si="121"/>
        <v>0</v>
      </c>
      <c r="AA96" s="21">
        <f t="shared" si="121"/>
        <v>0</v>
      </c>
      <c r="AB96" s="21">
        <f t="shared" si="121"/>
        <v>0</v>
      </c>
      <c r="AC96" s="21">
        <f t="shared" si="121"/>
        <v>0</v>
      </c>
      <c r="AD96" s="21">
        <f t="shared" si="121"/>
        <v>0</v>
      </c>
      <c r="AE96" s="21">
        <f t="shared" si="121"/>
        <v>0</v>
      </c>
      <c r="AF96" s="21">
        <f t="shared" si="121"/>
        <v>3689.2579999999998</v>
      </c>
      <c r="AG96" s="21">
        <f t="shared" si="121"/>
        <v>0</v>
      </c>
      <c r="AH96" s="22" t="s">
        <v>73</v>
      </c>
    </row>
    <row r="97" spans="1:35" s="1" customFormat="1" ht="48" customHeight="1" x14ac:dyDescent="0.25">
      <c r="A97" s="66"/>
      <c r="B97" s="71"/>
      <c r="C97" s="24" t="s">
        <v>31</v>
      </c>
      <c r="D97" s="25">
        <f>SUM(J97,L97,N97,P97,R97,T97,V97,X97,Z97,AB97,AD97,AF97)</f>
        <v>9383.8130000000001</v>
      </c>
      <c r="E97" s="25">
        <f>J97</f>
        <v>0</v>
      </c>
      <c r="F97" s="25">
        <f>G97</f>
        <v>0</v>
      </c>
      <c r="G97" s="25">
        <f>SUM(K97,M97,O97,Q97,S97,U97,W97,Y97,AA97,AC97,AE97,AG97)</f>
        <v>0</v>
      </c>
      <c r="H97" s="25">
        <f t="shared" si="114"/>
        <v>0</v>
      </c>
      <c r="I97" s="25">
        <f t="shared" si="115"/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5694.5550000000003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3689.2579999999998</v>
      </c>
      <c r="AG97" s="38">
        <v>0</v>
      </c>
      <c r="AH97" s="26" t="s">
        <v>74</v>
      </c>
    </row>
    <row r="98" spans="1:35" s="1" customFormat="1" ht="33" customHeight="1" x14ac:dyDescent="0.25">
      <c r="A98" s="58"/>
      <c r="B98" s="62" t="s">
        <v>75</v>
      </c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4"/>
      <c r="AH98" s="26"/>
    </row>
    <row r="99" spans="1:35" s="56" customFormat="1" ht="45.75" customHeight="1" x14ac:dyDescent="0.25">
      <c r="A99" s="65" t="s">
        <v>76</v>
      </c>
      <c r="B99" s="67" t="s">
        <v>77</v>
      </c>
      <c r="C99" s="19" t="s">
        <v>28</v>
      </c>
      <c r="D99" s="20">
        <f>D100</f>
        <v>51172.499999999993</v>
      </c>
      <c r="E99" s="20">
        <f t="shared" ref="E99:G99" si="122">E100</f>
        <v>13735.088</v>
      </c>
      <c r="F99" s="20">
        <f t="shared" si="122"/>
        <v>15622.66</v>
      </c>
      <c r="G99" s="20">
        <f t="shared" si="122"/>
        <v>15622.66</v>
      </c>
      <c r="H99" s="20">
        <f t="shared" ref="H99:H104" si="123">IFERROR(G99/D99*100,0)</f>
        <v>30.52940544237628</v>
      </c>
      <c r="I99" s="20">
        <f t="shared" ref="I99:I104" si="124">IFERROR(G99/E99*100,0)</f>
        <v>113.74270044720501</v>
      </c>
      <c r="J99" s="21">
        <f t="shared" ref="J99:AG99" si="125">SUM(J100:J100)</f>
        <v>5251.0879999999997</v>
      </c>
      <c r="K99" s="21">
        <f t="shared" si="125"/>
        <v>4538.9799999999996</v>
      </c>
      <c r="L99" s="21">
        <f t="shared" si="125"/>
        <v>4578</v>
      </c>
      <c r="M99" s="21">
        <f t="shared" si="125"/>
        <v>4578</v>
      </c>
      <c r="N99" s="21">
        <f t="shared" si="125"/>
        <v>3906</v>
      </c>
      <c r="O99" s="21">
        <f t="shared" si="125"/>
        <v>2968.32</v>
      </c>
      <c r="P99" s="21">
        <f t="shared" si="125"/>
        <v>3778.1</v>
      </c>
      <c r="Q99" s="21">
        <f t="shared" si="125"/>
        <v>3537.36</v>
      </c>
      <c r="R99" s="21">
        <f t="shared" si="125"/>
        <v>8618</v>
      </c>
      <c r="S99" s="21">
        <f t="shared" si="125"/>
        <v>0</v>
      </c>
      <c r="T99" s="21">
        <f t="shared" si="125"/>
        <v>7014</v>
      </c>
      <c r="U99" s="21">
        <f t="shared" si="125"/>
        <v>0</v>
      </c>
      <c r="V99" s="21">
        <f t="shared" si="125"/>
        <v>3144</v>
      </c>
      <c r="W99" s="21">
        <f t="shared" si="125"/>
        <v>0</v>
      </c>
      <c r="X99" s="21">
        <f t="shared" si="125"/>
        <v>2906</v>
      </c>
      <c r="Y99" s="21">
        <f t="shared" si="125"/>
        <v>0</v>
      </c>
      <c r="Z99" s="21">
        <f t="shared" si="125"/>
        <v>3916</v>
      </c>
      <c r="AA99" s="21">
        <f t="shared" si="125"/>
        <v>0</v>
      </c>
      <c r="AB99" s="21">
        <f t="shared" si="125"/>
        <v>3315</v>
      </c>
      <c r="AC99" s="21">
        <f t="shared" si="125"/>
        <v>0</v>
      </c>
      <c r="AD99" s="21">
        <f t="shared" si="125"/>
        <v>3112.4520000000002</v>
      </c>
      <c r="AE99" s="21">
        <f t="shared" si="125"/>
        <v>0</v>
      </c>
      <c r="AF99" s="21">
        <f t="shared" si="125"/>
        <v>1633.86</v>
      </c>
      <c r="AG99" s="21">
        <f t="shared" si="125"/>
        <v>0</v>
      </c>
      <c r="AH99" s="22"/>
      <c r="AI99" s="55"/>
    </row>
    <row r="100" spans="1:35" s="57" customFormat="1" ht="78" customHeight="1" x14ac:dyDescent="0.25">
      <c r="A100" s="66"/>
      <c r="B100" s="68"/>
      <c r="C100" s="24" t="s">
        <v>31</v>
      </c>
      <c r="D100" s="25">
        <f>SUM(J100,L100,N100,P100,R100,T100,V100,X100,Z100,AB100,AD100,AF100)</f>
        <v>51172.499999999993</v>
      </c>
      <c r="E100" s="25">
        <f>J100+L100+N100</f>
        <v>13735.088</v>
      </c>
      <c r="F100" s="25">
        <f>G100</f>
        <v>15622.66</v>
      </c>
      <c r="G100" s="25">
        <f>SUM(K100,M100,O100,Q100,S100,U100,W100,Y100,AA100,AC100,AE100,AG100)</f>
        <v>15622.66</v>
      </c>
      <c r="H100" s="25">
        <f t="shared" si="123"/>
        <v>30.52940544237628</v>
      </c>
      <c r="I100" s="25">
        <f>IFERROR(G100/E100*100,0)</f>
        <v>113.74270044720501</v>
      </c>
      <c r="J100" s="38">
        <f>J102+J104</f>
        <v>5251.0879999999997</v>
      </c>
      <c r="K100" s="38">
        <f t="shared" ref="K100:AG100" si="126">K102+K104</f>
        <v>4538.9799999999996</v>
      </c>
      <c r="L100" s="38">
        <f t="shared" si="126"/>
        <v>4578</v>
      </c>
      <c r="M100" s="38">
        <f t="shared" si="126"/>
        <v>4578</v>
      </c>
      <c r="N100" s="38">
        <f t="shared" si="126"/>
        <v>3906</v>
      </c>
      <c r="O100" s="38">
        <f t="shared" si="126"/>
        <v>2968.32</v>
      </c>
      <c r="P100" s="38">
        <f t="shared" si="126"/>
        <v>3778.1</v>
      </c>
      <c r="Q100" s="38">
        <f t="shared" si="126"/>
        <v>3537.36</v>
      </c>
      <c r="R100" s="38">
        <f t="shared" si="126"/>
        <v>8618</v>
      </c>
      <c r="S100" s="38">
        <f t="shared" si="126"/>
        <v>0</v>
      </c>
      <c r="T100" s="38">
        <f t="shared" si="126"/>
        <v>7014</v>
      </c>
      <c r="U100" s="38">
        <f t="shared" si="126"/>
        <v>0</v>
      </c>
      <c r="V100" s="38">
        <f t="shared" si="126"/>
        <v>3144</v>
      </c>
      <c r="W100" s="38">
        <f t="shared" si="126"/>
        <v>0</v>
      </c>
      <c r="X100" s="38">
        <f t="shared" si="126"/>
        <v>2906</v>
      </c>
      <c r="Y100" s="38">
        <f t="shared" si="126"/>
        <v>0</v>
      </c>
      <c r="Z100" s="38">
        <f t="shared" si="126"/>
        <v>3916</v>
      </c>
      <c r="AA100" s="38">
        <f t="shared" si="126"/>
        <v>0</v>
      </c>
      <c r="AB100" s="38">
        <f t="shared" si="126"/>
        <v>3315</v>
      </c>
      <c r="AC100" s="38">
        <f t="shared" si="126"/>
        <v>0</v>
      </c>
      <c r="AD100" s="38">
        <f t="shared" si="126"/>
        <v>3112.4520000000002</v>
      </c>
      <c r="AE100" s="38">
        <f t="shared" si="126"/>
        <v>0</v>
      </c>
      <c r="AF100" s="38">
        <f t="shared" si="126"/>
        <v>1633.86</v>
      </c>
      <c r="AG100" s="38">
        <f t="shared" si="126"/>
        <v>0</v>
      </c>
      <c r="AH100" s="26"/>
      <c r="AI100" s="55"/>
    </row>
    <row r="101" spans="1:35" s="1" customFormat="1" ht="60" customHeight="1" x14ac:dyDescent="0.25">
      <c r="A101" s="65"/>
      <c r="B101" s="69" t="s">
        <v>78</v>
      </c>
      <c r="C101" s="19" t="s">
        <v>28</v>
      </c>
      <c r="D101" s="20">
        <f>D102</f>
        <v>51072.499999999993</v>
      </c>
      <c r="E101" s="20">
        <f t="shared" ref="E101:G101" si="127">E102</f>
        <v>17513.187999999998</v>
      </c>
      <c r="F101" s="20">
        <f t="shared" si="127"/>
        <v>15622.66</v>
      </c>
      <c r="G101" s="20">
        <f t="shared" si="127"/>
        <v>15622.66</v>
      </c>
      <c r="H101" s="20">
        <f t="shared" si="123"/>
        <v>30.589182045131924</v>
      </c>
      <c r="I101" s="20">
        <f t="shared" si="124"/>
        <v>89.205117880308265</v>
      </c>
      <c r="J101" s="21">
        <f t="shared" ref="J101:AG101" si="128">SUM(J102:J102)</f>
        <v>5251.0879999999997</v>
      </c>
      <c r="K101" s="21">
        <f t="shared" si="128"/>
        <v>4538.9799999999996</v>
      </c>
      <c r="L101" s="21">
        <f t="shared" si="128"/>
        <v>4578</v>
      </c>
      <c r="M101" s="21">
        <f t="shared" si="128"/>
        <v>4578</v>
      </c>
      <c r="N101" s="21">
        <f t="shared" si="128"/>
        <v>3906</v>
      </c>
      <c r="O101" s="21">
        <f t="shared" si="128"/>
        <v>2968.32</v>
      </c>
      <c r="P101" s="21">
        <f t="shared" si="128"/>
        <v>3778.1</v>
      </c>
      <c r="Q101" s="21">
        <f t="shared" si="128"/>
        <v>3537.36</v>
      </c>
      <c r="R101" s="21">
        <f t="shared" si="128"/>
        <v>8618</v>
      </c>
      <c r="S101" s="21">
        <f t="shared" si="128"/>
        <v>0</v>
      </c>
      <c r="T101" s="21">
        <f t="shared" si="128"/>
        <v>7014</v>
      </c>
      <c r="U101" s="21">
        <f t="shared" si="128"/>
        <v>0</v>
      </c>
      <c r="V101" s="21">
        <f t="shared" si="128"/>
        <v>3144</v>
      </c>
      <c r="W101" s="21">
        <f t="shared" si="128"/>
        <v>0</v>
      </c>
      <c r="X101" s="21">
        <f t="shared" si="128"/>
        <v>2806</v>
      </c>
      <c r="Y101" s="21">
        <f t="shared" si="128"/>
        <v>0</v>
      </c>
      <c r="Z101" s="21">
        <f t="shared" si="128"/>
        <v>3916</v>
      </c>
      <c r="AA101" s="21">
        <f t="shared" si="128"/>
        <v>0</v>
      </c>
      <c r="AB101" s="21">
        <f t="shared" si="128"/>
        <v>3315</v>
      </c>
      <c r="AC101" s="21">
        <f t="shared" si="128"/>
        <v>0</v>
      </c>
      <c r="AD101" s="21">
        <f t="shared" si="128"/>
        <v>3112.4520000000002</v>
      </c>
      <c r="AE101" s="21">
        <f t="shared" si="128"/>
        <v>0</v>
      </c>
      <c r="AF101" s="21">
        <f t="shared" si="128"/>
        <v>1633.86</v>
      </c>
      <c r="AG101" s="21">
        <f t="shared" si="128"/>
        <v>0</v>
      </c>
      <c r="AH101" s="22"/>
    </row>
    <row r="102" spans="1:35" s="1" customFormat="1" ht="62.25" customHeight="1" x14ac:dyDescent="0.25">
      <c r="A102" s="66"/>
      <c r="B102" s="70"/>
      <c r="C102" s="24" t="s">
        <v>31</v>
      </c>
      <c r="D102" s="25">
        <f>SUM(J102,L102,N102,P102,R102,T102,V102,X102,Z102,AB102,AD102,AF102)</f>
        <v>51072.499999999993</v>
      </c>
      <c r="E102" s="25">
        <f>J102+L102+N102+P102</f>
        <v>17513.187999999998</v>
      </c>
      <c r="F102" s="25">
        <f>G102</f>
        <v>15622.66</v>
      </c>
      <c r="G102" s="25">
        <f>SUM(K102,M102,O102,Q102,S102,U102,W102,Y102,AA102,AC102,AE102,AG102)</f>
        <v>15622.66</v>
      </c>
      <c r="H102" s="25">
        <f t="shared" si="123"/>
        <v>30.589182045131924</v>
      </c>
      <c r="I102" s="25">
        <f t="shared" si="124"/>
        <v>89.205117880308265</v>
      </c>
      <c r="J102" s="38">
        <v>5251.0879999999997</v>
      </c>
      <c r="K102" s="38">
        <v>4538.9799999999996</v>
      </c>
      <c r="L102" s="38">
        <v>4578</v>
      </c>
      <c r="M102" s="38">
        <v>4578</v>
      </c>
      <c r="N102" s="38">
        <v>3906</v>
      </c>
      <c r="O102" s="38">
        <v>2968.32</v>
      </c>
      <c r="P102" s="38">
        <v>3778.1</v>
      </c>
      <c r="Q102" s="38">
        <v>3537.36</v>
      </c>
      <c r="R102" s="38">
        <v>8618</v>
      </c>
      <c r="S102" s="38">
        <v>0</v>
      </c>
      <c r="T102" s="38">
        <v>7014</v>
      </c>
      <c r="U102" s="38">
        <v>0</v>
      </c>
      <c r="V102" s="38">
        <v>3144</v>
      </c>
      <c r="W102" s="38">
        <v>0</v>
      </c>
      <c r="X102" s="38">
        <v>2806</v>
      </c>
      <c r="Y102" s="38">
        <v>0</v>
      </c>
      <c r="Z102" s="38">
        <v>3916</v>
      </c>
      <c r="AA102" s="38">
        <v>0</v>
      </c>
      <c r="AB102" s="38">
        <v>3315</v>
      </c>
      <c r="AC102" s="38">
        <v>0</v>
      </c>
      <c r="AD102" s="38">
        <v>3112.4520000000002</v>
      </c>
      <c r="AE102" s="38">
        <v>0</v>
      </c>
      <c r="AF102" s="38">
        <v>1633.86</v>
      </c>
      <c r="AG102" s="38">
        <v>0</v>
      </c>
      <c r="AH102" s="26"/>
    </row>
    <row r="103" spans="1:35" s="1" customFormat="1" ht="23.25" customHeight="1" x14ac:dyDescent="0.25">
      <c r="A103" s="65"/>
      <c r="B103" s="71" t="s">
        <v>79</v>
      </c>
      <c r="C103" s="19" t="s">
        <v>28</v>
      </c>
      <c r="D103" s="20">
        <f>D104</f>
        <v>100</v>
      </c>
      <c r="E103" s="20">
        <f t="shared" ref="E103:G103" si="129">E104</f>
        <v>0</v>
      </c>
      <c r="F103" s="20">
        <f t="shared" si="129"/>
        <v>0</v>
      </c>
      <c r="G103" s="20">
        <f t="shared" si="129"/>
        <v>0</v>
      </c>
      <c r="H103" s="20">
        <f t="shared" si="123"/>
        <v>0</v>
      </c>
      <c r="I103" s="20">
        <f t="shared" si="124"/>
        <v>0</v>
      </c>
      <c r="J103" s="21">
        <f t="shared" ref="J103:AG103" si="130">SUM(J104:J104)</f>
        <v>0</v>
      </c>
      <c r="K103" s="21">
        <f t="shared" si="130"/>
        <v>0</v>
      </c>
      <c r="L103" s="21">
        <f t="shared" si="130"/>
        <v>0</v>
      </c>
      <c r="M103" s="21">
        <f t="shared" si="130"/>
        <v>0</v>
      </c>
      <c r="N103" s="21">
        <f t="shared" si="130"/>
        <v>0</v>
      </c>
      <c r="O103" s="21">
        <f t="shared" si="130"/>
        <v>0</v>
      </c>
      <c r="P103" s="21">
        <f t="shared" si="130"/>
        <v>0</v>
      </c>
      <c r="Q103" s="21">
        <f t="shared" si="130"/>
        <v>0</v>
      </c>
      <c r="R103" s="21">
        <f t="shared" si="130"/>
        <v>0</v>
      </c>
      <c r="S103" s="21">
        <f t="shared" si="130"/>
        <v>0</v>
      </c>
      <c r="T103" s="21">
        <f t="shared" si="130"/>
        <v>0</v>
      </c>
      <c r="U103" s="21">
        <f t="shared" si="130"/>
        <v>0</v>
      </c>
      <c r="V103" s="21">
        <f t="shared" si="130"/>
        <v>0</v>
      </c>
      <c r="W103" s="21">
        <f t="shared" si="130"/>
        <v>0</v>
      </c>
      <c r="X103" s="21">
        <f t="shared" si="130"/>
        <v>100</v>
      </c>
      <c r="Y103" s="21">
        <f t="shared" si="130"/>
        <v>0</v>
      </c>
      <c r="Z103" s="21">
        <f t="shared" si="130"/>
        <v>0</v>
      </c>
      <c r="AA103" s="21">
        <f t="shared" si="130"/>
        <v>0</v>
      </c>
      <c r="AB103" s="21">
        <f t="shared" si="130"/>
        <v>0</v>
      </c>
      <c r="AC103" s="21">
        <f t="shared" si="130"/>
        <v>0</v>
      </c>
      <c r="AD103" s="21">
        <f t="shared" si="130"/>
        <v>0</v>
      </c>
      <c r="AE103" s="21">
        <f t="shared" si="130"/>
        <v>0</v>
      </c>
      <c r="AF103" s="21">
        <f t="shared" si="130"/>
        <v>0</v>
      </c>
      <c r="AG103" s="21">
        <f t="shared" si="130"/>
        <v>0</v>
      </c>
      <c r="AH103" s="22"/>
    </row>
    <row r="104" spans="1:35" s="1" customFormat="1" ht="42" customHeight="1" x14ac:dyDescent="0.25">
      <c r="A104" s="66"/>
      <c r="B104" s="71"/>
      <c r="C104" s="24" t="s">
        <v>31</v>
      </c>
      <c r="D104" s="25">
        <f>SUM(J104,L104,N104,P104,R104,T104,V104,X104,Z104,AB104,AD104,AF104)</f>
        <v>100</v>
      </c>
      <c r="E104" s="25">
        <f>J104</f>
        <v>0</v>
      </c>
      <c r="F104" s="25">
        <f>G104</f>
        <v>0</v>
      </c>
      <c r="G104" s="25">
        <f>SUM(K104,M104,O104,Q104,S104,U104,W104,Y104,AA104,AC104,AE104,AG104)</f>
        <v>0</v>
      </c>
      <c r="H104" s="25">
        <f t="shared" si="123"/>
        <v>0</v>
      </c>
      <c r="I104" s="25">
        <f t="shared" si="124"/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100</v>
      </c>
      <c r="Y104" s="38">
        <v>0</v>
      </c>
      <c r="Z104" s="38">
        <v>0</v>
      </c>
      <c r="AA104" s="38">
        <v>0</v>
      </c>
      <c r="AB104" s="38">
        <v>0</v>
      </c>
      <c r="AC104" s="38">
        <v>0</v>
      </c>
      <c r="AD104" s="38">
        <v>0</v>
      </c>
      <c r="AE104" s="38">
        <v>0</v>
      </c>
      <c r="AF104" s="38">
        <v>0</v>
      </c>
      <c r="AG104" s="38">
        <v>0</v>
      </c>
      <c r="AH104" s="26"/>
    </row>
  </sheetData>
  <mergeCells count="85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2"/>
    <mergeCell ref="B8:B12"/>
    <mergeCell ref="B13:AG13"/>
    <mergeCell ref="A14:A18"/>
    <mergeCell ref="B14:B18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9:A22"/>
    <mergeCell ref="B19:B22"/>
    <mergeCell ref="A23:A26"/>
    <mergeCell ref="B23:B26"/>
    <mergeCell ref="A27:A29"/>
    <mergeCell ref="B27:B29"/>
    <mergeCell ref="A30:A32"/>
    <mergeCell ref="B30:B32"/>
    <mergeCell ref="A33:A37"/>
    <mergeCell ref="B33:B37"/>
    <mergeCell ref="A38:A41"/>
    <mergeCell ref="B38:B41"/>
    <mergeCell ref="B61:B62"/>
    <mergeCell ref="A42:A45"/>
    <mergeCell ref="B42:B45"/>
    <mergeCell ref="B46:B47"/>
    <mergeCell ref="B48:B49"/>
    <mergeCell ref="A50:A52"/>
    <mergeCell ref="B50:B52"/>
    <mergeCell ref="B53:B54"/>
    <mergeCell ref="A55:A57"/>
    <mergeCell ref="B55:B57"/>
    <mergeCell ref="A58:A60"/>
    <mergeCell ref="B58:B60"/>
    <mergeCell ref="A83:A84"/>
    <mergeCell ref="B83:B84"/>
    <mergeCell ref="B63:B64"/>
    <mergeCell ref="A65:A68"/>
    <mergeCell ref="B65:B68"/>
    <mergeCell ref="B69:AG69"/>
    <mergeCell ref="A70:A73"/>
    <mergeCell ref="B70:B73"/>
    <mergeCell ref="B74:B78"/>
    <mergeCell ref="A79:A80"/>
    <mergeCell ref="B79:B80"/>
    <mergeCell ref="A81:A82"/>
    <mergeCell ref="B81:B82"/>
    <mergeCell ref="A85:A86"/>
    <mergeCell ref="B85:B86"/>
    <mergeCell ref="A87:A88"/>
    <mergeCell ref="B87:B88"/>
    <mergeCell ref="A89:A90"/>
    <mergeCell ref="B89:B90"/>
    <mergeCell ref="A103:A104"/>
    <mergeCell ref="B103:B104"/>
    <mergeCell ref="B91:AG91"/>
    <mergeCell ref="A92:A93"/>
    <mergeCell ref="B92:B93"/>
    <mergeCell ref="A94:A95"/>
    <mergeCell ref="B94:B95"/>
    <mergeCell ref="A96:A97"/>
    <mergeCell ref="B96:B97"/>
    <mergeCell ref="B98:AG98"/>
    <mergeCell ref="A99:A100"/>
    <mergeCell ref="B99:B100"/>
    <mergeCell ref="A101:A102"/>
    <mergeCell ref="B101:B10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2025-11-11T07:00:23Z</dcterms:modified>
</cp:coreProperties>
</file>