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53.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3.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50.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41.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52.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ukmanovaEN\Desktop\Рабочие документы\Сетевые графики\Управление экономики\2025\декабрь\"/>
    </mc:Choice>
  </mc:AlternateContent>
  <bookViews>
    <workbookView xWindow="0" yWindow="0" windowWidth="28800" windowHeight="10200" firstSheet="17" activeTab="17"/>
  </bookViews>
  <sheets>
    <sheet name="1. РО" sheetId="1" state="hidden" r:id="rId1"/>
    <sheet name="2. СОГХ" sheetId="2" state="hidden" r:id="rId2"/>
    <sheet name="3. ФКГС" sheetId="3" state="hidden" r:id="rId3"/>
    <sheet name="4. КП" sheetId="4" state="hidden" r:id="rId4"/>
    <sheet name="5.РФКиС" sheetId="5" state="hidden" r:id="rId5"/>
    <sheet name="6. СЗН" sheetId="6" state="hidden" r:id="rId6"/>
    <sheet name="7. АПК" sheetId="7" state="hidden" r:id="rId7"/>
    <sheet name="8. РЖС" sheetId="8" state="hidden" r:id="rId8"/>
    <sheet name="9. РЖКК" sheetId="9" state="hidden" r:id="rId9"/>
    <sheet name="10.ПП" sheetId="10" state="hidden" r:id="rId10"/>
    <sheet name="11. БЖД" sheetId="11" state="hidden" r:id="rId11"/>
    <sheet name="12. ЭБ" sheetId="12" state="hidden" r:id="rId12"/>
    <sheet name="13. Экон. разв." sheetId="13" state="hidden" r:id="rId13"/>
    <sheet name="14. РТС" sheetId="14" state="hidden" r:id="rId14"/>
    <sheet name="15. УМФ" sheetId="15" state="hidden" r:id="rId15"/>
    <sheet name="16. РГО" sheetId="16" state="hidden" r:id="rId16"/>
    <sheet name="17. УМИ" sheetId="17" state="hidden" r:id="rId17"/>
    <sheet name="18. Экстремизм" sheetId="18" r:id="rId18"/>
    <sheet name="19.РМС" sheetId="19" state="hidden" r:id="rId19"/>
    <sheet name="20. МСП" sheetId="20" state="hidden"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PrintTitles" localSheetId="16" hidden="1">'17. УМИ'!$4:$7</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Степаненко Наталья Алексеевна - Личное представление" guid="{2A5A11D4-90C6-4A3E-8165-7D7BD634B22F}" mergeInterval="0" personalView="1" xWindow="960" windowWidth="960" windowHeight="1032" activeSheetId="1"/>
    <customWorkbookView name="Игошкина Марина Юрьевна - Личное представление" guid="{5DF2C78B-5EE4-439D-8D72-8D3A913B65F9}" mergeInterval="0" personalView="1" maximized="1" xWindow="-8" yWindow="-8" windowWidth="1936" windowHeight="1056" activeSheetId="19"/>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Наталья В. Балабанская - Личное представление" guid="{C68436F4-AFB3-4D1D-A7C4-56D0C677D68E}" mergeInterval="0" personalView="1" maximized="1" xWindow="-8" yWindow="-8" windowWidth="1936" windowHeight="1056" activeSheetId="15"/>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Митина Екатерина Сергеевна - Личное представление" guid="{21E1D423-7B38-4272-8354-09B4DB62C9EB}" mergeInterval="0" personalView="1" windowWidth="1280" windowHeight="1392" activeSheetId="13"/>
    <customWorkbookView name="Хазиева Татьяна Михайловна - Личное представление" guid="{EA46B61D-849C-4795-A4FF-F8F1740022EB}" mergeInterval="0" personalView="1" maximized="1" xWindow="-8" yWindow="-8" windowWidth="2576" windowHeight="1408" activeSheetId="10"/>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Цёвка Елена Александровна - Личное представление" guid="{AB9978E4-895D-4050-8F07-2484E22632D1}" mergeInterval="0" personalView="1" windowWidth="960" windowHeight="1032" activeSheetId="17"/>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Подворчан Оксана - Личное представление" guid="{60A1F930-4BEC-460A-8E14-01E47F6DD055}" mergeInterval="0" personalView="1" maximized="1" xWindow="-4" yWindow="-4" windowWidth="1928" windowHeight="1038" activeSheetId="16"/>
    <customWorkbookView name="Васильева Мария Сергеевна - Личное представление" guid="{30B635D9-57DB-47D5-8A0F-4B30DD769960}" mergeInterval="0" personalView="1" maximized="1" xWindow="-8" yWindow="-8" windowWidth="1936" windowHeight="1056"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18" l="1"/>
  <c r="AE9" i="18"/>
  <c r="G27" i="16" l="1"/>
  <c r="G26" i="16"/>
  <c r="E26" i="16"/>
  <c r="P25" i="16"/>
  <c r="N25" i="16"/>
  <c r="L25" i="16"/>
  <c r="J25" i="16"/>
  <c r="D26" i="16"/>
  <c r="E25" i="16"/>
  <c r="G30" i="16"/>
  <c r="E30" i="16"/>
  <c r="E29" i="16" s="1"/>
  <c r="D57" i="16"/>
  <c r="E19" i="16"/>
  <c r="E13" i="16" s="1"/>
  <c r="E12" i="16" s="1"/>
  <c r="E15" i="16"/>
  <c r="E21" i="18"/>
  <c r="E32" i="18"/>
  <c r="D45" i="16"/>
  <c r="E27" i="18"/>
  <c r="E25" i="18"/>
  <c r="E23" i="18"/>
  <c r="F21" i="18"/>
  <c r="E18" i="18"/>
  <c r="E16" i="18"/>
  <c r="E14" i="18"/>
  <c r="E12" i="18"/>
  <c r="J9" i="18"/>
  <c r="G33" i="16"/>
  <c r="E35" i="16"/>
  <c r="E27" i="16"/>
  <c r="D27" i="16"/>
  <c r="AG25" i="16"/>
  <c r="AE25" i="16"/>
  <c r="AC25" i="16"/>
  <c r="D25" i="16" l="1"/>
  <c r="G22" i="20"/>
  <c r="F22" i="20" s="1"/>
  <c r="E22" i="20"/>
  <c r="G17" i="20"/>
  <c r="G16" i="20"/>
  <c r="E17" i="20"/>
  <c r="E16" i="20"/>
  <c r="AF18" i="20"/>
  <c r="I22" i="20" l="1"/>
  <c r="D20" i="10"/>
  <c r="D24" i="10" l="1"/>
  <c r="D23" i="10"/>
  <c r="E12" i="15" l="1"/>
  <c r="E9" i="15" s="1"/>
  <c r="E14" i="15"/>
  <c r="D30" i="10" l="1"/>
  <c r="E14" i="2"/>
  <c r="E15" i="2"/>
  <c r="E19" i="2"/>
  <c r="E18" i="2"/>
  <c r="E17" i="2" s="1"/>
  <c r="P32" i="16" l="1"/>
  <c r="E22" i="16"/>
  <c r="F59" i="16"/>
  <c r="E59" i="16"/>
  <c r="E61" i="16"/>
  <c r="F61" i="16"/>
  <c r="E57" i="16"/>
  <c r="F57" i="16"/>
  <c r="E45" i="16"/>
  <c r="G45" i="16"/>
  <c r="F45" i="16" s="1"/>
  <c r="F26" i="16"/>
  <c r="G37" i="16"/>
  <c r="F37" i="16" s="1"/>
  <c r="E37" i="16"/>
  <c r="G41" i="16"/>
  <c r="G40" i="16" s="1"/>
  <c r="E41" i="16"/>
  <c r="E33" i="16"/>
  <c r="E23" i="3" l="1"/>
  <c r="E21" i="3"/>
  <c r="E18" i="3"/>
  <c r="E16" i="3"/>
  <c r="E15" i="3"/>
  <c r="E19" i="3"/>
  <c r="E14" i="3"/>
  <c r="G76" i="4" l="1"/>
  <c r="E76" i="4"/>
  <c r="E75" i="4"/>
  <c r="E41" i="4"/>
  <c r="E42" i="4"/>
  <c r="E64" i="4" l="1"/>
  <c r="G32" i="4"/>
  <c r="G33" i="4"/>
  <c r="E33" i="4"/>
  <c r="E32" i="4"/>
  <c r="E31" i="4"/>
  <c r="G29" i="4"/>
  <c r="E29" i="4"/>
  <c r="E28" i="4"/>
  <c r="E25" i="4"/>
  <c r="E24" i="4"/>
  <c r="E81" i="4" l="1"/>
  <c r="E49" i="4"/>
  <c r="E48" i="4"/>
  <c r="E60" i="4"/>
  <c r="G62" i="4"/>
  <c r="E62" i="4"/>
  <c r="E59" i="4"/>
  <c r="G39" i="17" l="1"/>
  <c r="I39" i="17" s="1"/>
  <c r="E39" i="17"/>
  <c r="E38" i="17" s="1"/>
  <c r="D39" i="17"/>
  <c r="D38"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S37" i="17"/>
  <c r="S36" i="17" s="1"/>
  <c r="H37" i="17"/>
  <c r="G37" i="17"/>
  <c r="F37" i="17" s="1"/>
  <c r="F36" i="17" s="1"/>
  <c r="E37" i="17"/>
  <c r="D37" i="17"/>
  <c r="D36" i="17" s="1"/>
  <c r="AG36" i="17"/>
  <c r="AF36" i="17"/>
  <c r="AE36" i="17"/>
  <c r="AD36" i="17"/>
  <c r="AC36" i="17"/>
  <c r="AB36" i="17"/>
  <c r="AA36" i="17"/>
  <c r="Z36" i="17"/>
  <c r="Y36" i="17"/>
  <c r="X36" i="17"/>
  <c r="W36" i="17"/>
  <c r="V36" i="17"/>
  <c r="U36" i="17"/>
  <c r="T36" i="17"/>
  <c r="R36" i="17"/>
  <c r="Q36" i="17"/>
  <c r="P36" i="17"/>
  <c r="O36" i="17"/>
  <c r="N36" i="17"/>
  <c r="M36" i="17"/>
  <c r="L36" i="17"/>
  <c r="K36" i="17"/>
  <c r="J36" i="17"/>
  <c r="E36" i="17"/>
  <c r="G35" i="17"/>
  <c r="I35" i="17" s="1"/>
  <c r="F35" i="17"/>
  <c r="E35" i="17"/>
  <c r="D35" i="17"/>
  <c r="H35" i="17" s="1"/>
  <c r="I33" i="17"/>
  <c r="G33" i="17"/>
  <c r="F33" i="17" s="1"/>
  <c r="F32" i="17" s="1"/>
  <c r="E33" i="17"/>
  <c r="E32" i="17" s="1"/>
  <c r="D33" i="17"/>
  <c r="D32" i="17" s="1"/>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G31" i="17"/>
  <c r="I31" i="17" s="1"/>
  <c r="E31" i="17"/>
  <c r="E28" i="17" s="1"/>
  <c r="E27" i="17" s="1"/>
  <c r="D31" i="17"/>
  <c r="D30" i="17" s="1"/>
  <c r="AG30" i="17"/>
  <c r="AF30" i="17"/>
  <c r="AE30" i="17"/>
  <c r="AD30" i="17"/>
  <c r="AC30" i="17"/>
  <c r="AB30" i="17"/>
  <c r="AA30" i="17"/>
  <c r="Z30" i="17"/>
  <c r="Y30" i="17"/>
  <c r="X30" i="17"/>
  <c r="W30" i="17"/>
  <c r="V30" i="17"/>
  <c r="U30" i="17"/>
  <c r="T30" i="17"/>
  <c r="S30" i="17"/>
  <c r="R30" i="17"/>
  <c r="Q30" i="17"/>
  <c r="P30" i="17"/>
  <c r="O30" i="17"/>
  <c r="N30" i="17"/>
  <c r="M30" i="17"/>
  <c r="L30" i="17"/>
  <c r="K30" i="17"/>
  <c r="J30" i="17"/>
  <c r="AG29" i="17"/>
  <c r="AG10" i="17" s="1"/>
  <c r="AG8" i="17" s="1"/>
  <c r="AF29" i="17"/>
  <c r="AE29" i="17"/>
  <c r="AD29" i="17"/>
  <c r="AC29" i="17"/>
  <c r="AB29" i="17"/>
  <c r="AA29" i="17"/>
  <c r="Z29" i="17"/>
  <c r="Y29" i="17"/>
  <c r="Y10" i="17" s="1"/>
  <c r="Y8" i="17" s="1"/>
  <c r="X29" i="17"/>
  <c r="W29" i="17"/>
  <c r="V29" i="17"/>
  <c r="U29" i="17"/>
  <c r="T29" i="17"/>
  <c r="S29" i="17"/>
  <c r="R29" i="17"/>
  <c r="Q29" i="17"/>
  <c r="Q10" i="17" s="1"/>
  <c r="P29" i="17"/>
  <c r="O29" i="17"/>
  <c r="N29" i="17"/>
  <c r="M29" i="17"/>
  <c r="L29" i="17"/>
  <c r="K29" i="17"/>
  <c r="J29" i="17"/>
  <c r="D29" i="17" s="1"/>
  <c r="I29" i="17"/>
  <c r="G29" i="17"/>
  <c r="F29" i="17"/>
  <c r="E29" i="17"/>
  <c r="AG28" i="17"/>
  <c r="AG27" i="17" s="1"/>
  <c r="AF28" i="17"/>
  <c r="AF27" i="17" s="1"/>
  <c r="AE28" i="17"/>
  <c r="AE27" i="17" s="1"/>
  <c r="AD28" i="17"/>
  <c r="AD27" i="17" s="1"/>
  <c r="AC28" i="17"/>
  <c r="AB28" i="17"/>
  <c r="AA28" i="17"/>
  <c r="Z28" i="17"/>
  <c r="Y28" i="17"/>
  <c r="Y27" i="17" s="1"/>
  <c r="X28" i="17"/>
  <c r="X27" i="17" s="1"/>
  <c r="W28" i="17"/>
  <c r="W27" i="17" s="1"/>
  <c r="V28" i="17"/>
  <c r="V27" i="17" s="1"/>
  <c r="U28" i="17"/>
  <c r="T28" i="17"/>
  <c r="S28" i="17"/>
  <c r="R28" i="17"/>
  <c r="Q28" i="17"/>
  <c r="Q27" i="17" s="1"/>
  <c r="P28" i="17"/>
  <c r="P27" i="17" s="1"/>
  <c r="O28" i="17"/>
  <c r="O27" i="17" s="1"/>
  <c r="N28" i="17"/>
  <c r="D28" i="17" s="1"/>
  <c r="D27" i="17" s="1"/>
  <c r="M28" i="17"/>
  <c r="L28" i="17"/>
  <c r="K28" i="17"/>
  <c r="J28" i="17"/>
  <c r="G28" i="17"/>
  <c r="I28" i="17" s="1"/>
  <c r="AC27" i="17"/>
  <c r="AB27" i="17"/>
  <c r="AA27" i="17"/>
  <c r="Z27" i="17"/>
  <c r="U27" i="17"/>
  <c r="T27" i="17"/>
  <c r="S27" i="17"/>
  <c r="R27" i="17"/>
  <c r="M27" i="17"/>
  <c r="L27" i="17"/>
  <c r="K27" i="17"/>
  <c r="J27" i="17"/>
  <c r="G25" i="17"/>
  <c r="I25" i="17" s="1"/>
  <c r="E25" i="17"/>
  <c r="E23" i="17" s="1"/>
  <c r="D25" i="17"/>
  <c r="D23" i="17" s="1"/>
  <c r="AG24" i="17"/>
  <c r="AG22" i="17" s="1"/>
  <c r="AF24" i="17"/>
  <c r="AF22" i="17" s="1"/>
  <c r="AE24" i="17"/>
  <c r="AD24" i="17"/>
  <c r="AC24" i="17"/>
  <c r="AB24" i="17"/>
  <c r="AA24" i="17"/>
  <c r="AA22" i="17" s="1"/>
  <c r="Z24" i="17"/>
  <c r="Z22" i="17" s="1"/>
  <c r="Y24" i="17"/>
  <c r="Y22" i="17" s="1"/>
  <c r="X24" i="17"/>
  <c r="X22" i="17" s="1"/>
  <c r="W24" i="17"/>
  <c r="V24" i="17"/>
  <c r="U24" i="17"/>
  <c r="T24" i="17"/>
  <c r="S24" i="17"/>
  <c r="S22" i="17" s="1"/>
  <c r="R24" i="17"/>
  <c r="R22" i="17" s="1"/>
  <c r="Q24" i="17"/>
  <c r="Q22" i="17" s="1"/>
  <c r="P24" i="17"/>
  <c r="P22" i="17" s="1"/>
  <c r="O24" i="17"/>
  <c r="N24" i="17"/>
  <c r="M24" i="17"/>
  <c r="L24" i="17"/>
  <c r="K24" i="17"/>
  <c r="K22" i="17" s="1"/>
  <c r="J24" i="17"/>
  <c r="J22" i="17" s="1"/>
  <c r="AG23" i="17"/>
  <c r="AF23" i="17"/>
  <c r="AE23" i="17"/>
  <c r="AE9" i="17" s="1"/>
  <c r="AD23" i="17"/>
  <c r="AC23" i="17"/>
  <c r="AB23" i="17"/>
  <c r="AA23" i="17"/>
  <c r="Z23" i="17"/>
  <c r="Y23" i="17"/>
  <c r="X23" i="17"/>
  <c r="W23" i="17"/>
  <c r="W9" i="17" s="1"/>
  <c r="V23" i="17"/>
  <c r="U23" i="17"/>
  <c r="T23" i="17"/>
  <c r="S23" i="17"/>
  <c r="R23" i="17"/>
  <c r="Q23" i="17"/>
  <c r="P23" i="17"/>
  <c r="O23" i="17"/>
  <c r="O9" i="17" s="1"/>
  <c r="N23" i="17"/>
  <c r="M23" i="17"/>
  <c r="L23" i="17"/>
  <c r="K23" i="17"/>
  <c r="J23" i="17"/>
  <c r="G23" i="17"/>
  <c r="AE22" i="17"/>
  <c r="AD22" i="17"/>
  <c r="AC22" i="17"/>
  <c r="AB22" i="17"/>
  <c r="W22" i="17"/>
  <c r="V22" i="17"/>
  <c r="U22" i="17"/>
  <c r="T22" i="17"/>
  <c r="O22" i="17"/>
  <c r="N22" i="17"/>
  <c r="M22" i="17"/>
  <c r="L22" i="17"/>
  <c r="G20" i="17"/>
  <c r="I20" i="17" s="1"/>
  <c r="E20" i="17"/>
  <c r="E18" i="17" s="1"/>
  <c r="D20" i="17"/>
  <c r="Q19" i="17"/>
  <c r="G19" i="17" s="1"/>
  <c r="E19" i="17"/>
  <c r="D19" i="17"/>
  <c r="D18" i="17" s="1"/>
  <c r="AG18" i="17"/>
  <c r="AF18" i="17"/>
  <c r="AF12" i="17" s="1"/>
  <c r="AE18" i="17"/>
  <c r="AD18" i="17"/>
  <c r="AC18" i="17"/>
  <c r="AB18" i="17"/>
  <c r="AA18" i="17"/>
  <c r="Z18" i="17"/>
  <c r="Y18" i="17"/>
  <c r="X18" i="17"/>
  <c r="X12" i="17" s="1"/>
  <c r="W18" i="17"/>
  <c r="V18" i="17"/>
  <c r="U18" i="17"/>
  <c r="T18" i="17"/>
  <c r="S18" i="17"/>
  <c r="R18" i="17"/>
  <c r="P18" i="17"/>
  <c r="P12" i="17" s="1"/>
  <c r="O18" i="17"/>
  <c r="N18" i="17"/>
  <c r="M18" i="17"/>
  <c r="L18" i="17"/>
  <c r="K18" i="17"/>
  <c r="J18" i="17"/>
  <c r="H17" i="17"/>
  <c r="G17" i="17"/>
  <c r="G15" i="17" s="1"/>
  <c r="F17" i="17"/>
  <c r="E17" i="17"/>
  <c r="E14" i="17" s="1"/>
  <c r="E10" i="17" s="1"/>
  <c r="D17" i="17"/>
  <c r="G16" i="17"/>
  <c r="I16" i="17" s="1"/>
  <c r="F16" i="17"/>
  <c r="F15" i="17" s="1"/>
  <c r="E16" i="17"/>
  <c r="E15" i="17" s="1"/>
  <c r="D16" i="17"/>
  <c r="D13" i="17" s="1"/>
  <c r="AG15" i="17"/>
  <c r="AG12" i="17" s="1"/>
  <c r="AF15" i="17"/>
  <c r="AE15" i="17"/>
  <c r="AD15" i="17"/>
  <c r="AC15" i="17"/>
  <c r="AB15" i="17"/>
  <c r="AA15" i="17"/>
  <c r="Z15" i="17"/>
  <c r="Z12" i="17" s="1"/>
  <c r="Y15" i="17"/>
  <c r="Y12" i="17" s="1"/>
  <c r="X15" i="17"/>
  <c r="W15" i="17"/>
  <c r="V15" i="17"/>
  <c r="U15" i="17"/>
  <c r="T15" i="17"/>
  <c r="S15" i="17"/>
  <c r="R15" i="17"/>
  <c r="R12" i="17" s="1"/>
  <c r="Q15" i="17"/>
  <c r="P15" i="17"/>
  <c r="O15" i="17"/>
  <c r="N15" i="17"/>
  <c r="M15" i="17"/>
  <c r="L15" i="17"/>
  <c r="K15" i="17"/>
  <c r="J15" i="17"/>
  <c r="J12" i="17" s="1"/>
  <c r="AG14" i="17"/>
  <c r="AF14" i="17"/>
  <c r="AF10" i="17" s="1"/>
  <c r="AE14" i="17"/>
  <c r="AE10" i="17" s="1"/>
  <c r="AD14" i="17"/>
  <c r="AC14" i="17"/>
  <c r="AB14" i="17"/>
  <c r="AA14" i="17"/>
  <c r="Z14" i="17"/>
  <c r="Y14" i="17"/>
  <c r="X14" i="17"/>
  <c r="X10" i="17" s="1"/>
  <c r="W14" i="17"/>
  <c r="W10" i="17" s="1"/>
  <c r="V14" i="17"/>
  <c r="U14" i="17"/>
  <c r="T14" i="17"/>
  <c r="S14" i="17"/>
  <c r="R14" i="17"/>
  <c r="Q14" i="17"/>
  <c r="P14" i="17"/>
  <c r="P10" i="17" s="1"/>
  <c r="O14" i="17"/>
  <c r="O10" i="17" s="1"/>
  <c r="N14" i="17"/>
  <c r="M14" i="17"/>
  <c r="L14" i="17"/>
  <c r="K14" i="17"/>
  <c r="J14" i="17"/>
  <c r="H14" i="17"/>
  <c r="G14" i="17"/>
  <c r="G10" i="17" s="1"/>
  <c r="D14" i="17"/>
  <c r="AG13" i="17"/>
  <c r="AF13" i="17"/>
  <c r="AE13" i="17"/>
  <c r="AD13" i="17"/>
  <c r="AD9" i="17" s="1"/>
  <c r="AD8" i="17" s="1"/>
  <c r="AC13" i="17"/>
  <c r="AC9" i="17" s="1"/>
  <c r="AC8" i="17" s="1"/>
  <c r="AB13" i="17"/>
  <c r="AA13" i="17"/>
  <c r="Z13" i="17"/>
  <c r="Y13" i="17"/>
  <c r="X13" i="17"/>
  <c r="W13" i="17"/>
  <c r="V13" i="17"/>
  <c r="V9" i="17" s="1"/>
  <c r="V8" i="17" s="1"/>
  <c r="U13" i="17"/>
  <c r="U9" i="17" s="1"/>
  <c r="U8" i="17" s="1"/>
  <c r="T13" i="17"/>
  <c r="S13" i="17"/>
  <c r="R13" i="17"/>
  <c r="P13" i="17"/>
  <c r="O13" i="17"/>
  <c r="N13" i="17"/>
  <c r="N9" i="17" s="1"/>
  <c r="N8" i="17" s="1"/>
  <c r="M13" i="17"/>
  <c r="M9" i="17" s="1"/>
  <c r="M8" i="17" s="1"/>
  <c r="L13" i="17"/>
  <c r="K13" i="17"/>
  <c r="J13" i="17"/>
  <c r="E13" i="17"/>
  <c r="AE12" i="17"/>
  <c r="AD12" i="17"/>
  <c r="AC12" i="17"/>
  <c r="AB12" i="17"/>
  <c r="AA12" i="17"/>
  <c r="W12" i="17"/>
  <c r="V12" i="17"/>
  <c r="U12" i="17"/>
  <c r="T12" i="17"/>
  <c r="S12" i="17"/>
  <c r="O12" i="17"/>
  <c r="N12" i="17"/>
  <c r="M12" i="17"/>
  <c r="L12" i="17"/>
  <c r="K12" i="17"/>
  <c r="AD10" i="17"/>
  <c r="AC10" i="17"/>
  <c r="AB10" i="17"/>
  <c r="AB8" i="17" s="1"/>
  <c r="AA10" i="17"/>
  <c r="Z10" i="17"/>
  <c r="V10" i="17"/>
  <c r="U10" i="17"/>
  <c r="T10" i="17"/>
  <c r="T8" i="17" s="1"/>
  <c r="S10" i="17"/>
  <c r="R10" i="17"/>
  <c r="N10" i="17"/>
  <c r="M10" i="17"/>
  <c r="L10" i="17"/>
  <c r="K10" i="17"/>
  <c r="J10" i="17"/>
  <c r="AG9" i="17"/>
  <c r="AF9" i="17"/>
  <c r="AF8" i="17" s="1"/>
  <c r="AB9" i="17"/>
  <c r="AA9" i="17"/>
  <c r="Z9" i="17"/>
  <c r="Z8" i="17" s="1"/>
  <c r="Y9" i="17"/>
  <c r="X9" i="17"/>
  <c r="X8" i="17" s="1"/>
  <c r="T9" i="17"/>
  <c r="S9" i="17"/>
  <c r="R9" i="17"/>
  <c r="R8" i="17" s="1"/>
  <c r="P9" i="17"/>
  <c r="P8" i="17" s="1"/>
  <c r="L9" i="17"/>
  <c r="L8" i="17" s="1"/>
  <c r="K9" i="17"/>
  <c r="J9" i="17"/>
  <c r="J8" i="17" s="1"/>
  <c r="AA8" i="17"/>
  <c r="S8" i="17"/>
  <c r="K8" i="17"/>
  <c r="E9" i="17" l="1"/>
  <c r="E8" i="17" s="1"/>
  <c r="H10" i="17"/>
  <c r="I10" i="17"/>
  <c r="Q12" i="17"/>
  <c r="H15" i="17"/>
  <c r="G12" i="17"/>
  <c r="I15" i="17"/>
  <c r="D10" i="17"/>
  <c r="H29" i="17"/>
  <c r="D9" i="17"/>
  <c r="O8" i="17"/>
  <c r="W8" i="17"/>
  <c r="AE8" i="17"/>
  <c r="D8" i="17"/>
  <c r="E12" i="17"/>
  <c r="H19" i="17"/>
  <c r="F19" i="17"/>
  <c r="G13" i="17"/>
  <c r="I19" i="17"/>
  <c r="G18" i="17"/>
  <c r="I23" i="17"/>
  <c r="I32" i="17"/>
  <c r="I14" i="17"/>
  <c r="Q18" i="17"/>
  <c r="H23" i="17"/>
  <c r="N27" i="17"/>
  <c r="H28" i="17"/>
  <c r="F31" i="17"/>
  <c r="H32" i="17"/>
  <c r="G36" i="17"/>
  <c r="I37" i="17"/>
  <c r="D15" i="17"/>
  <c r="D12" i="17" s="1"/>
  <c r="G27" i="17"/>
  <c r="E30" i="17"/>
  <c r="Q13" i="17"/>
  <c r="Q9" i="17" s="1"/>
  <c r="Q8" i="17" s="1"/>
  <c r="I17" i="17"/>
  <c r="F20" i="17"/>
  <c r="F14" i="17" s="1"/>
  <c r="F10" i="17" s="1"/>
  <c r="D24" i="17"/>
  <c r="D22" i="17" s="1"/>
  <c r="F25" i="17"/>
  <c r="H31" i="17"/>
  <c r="F39" i="17"/>
  <c r="F38" i="17" s="1"/>
  <c r="H16" i="17"/>
  <c r="E24" i="17"/>
  <c r="E22" i="17" s="1"/>
  <c r="G30" i="17"/>
  <c r="H20" i="17"/>
  <c r="H25" i="17"/>
  <c r="H39" i="17"/>
  <c r="G24" i="17"/>
  <c r="G38" i="17"/>
  <c r="I30" i="17" l="1"/>
  <c r="H30" i="17"/>
  <c r="I36" i="17"/>
  <c r="H36" i="17"/>
  <c r="I13" i="17"/>
  <c r="H13" i="17"/>
  <c r="G9" i="17"/>
  <c r="I12" i="17"/>
  <c r="H12" i="17"/>
  <c r="F30" i="17"/>
  <c r="F28" i="17"/>
  <c r="F27" i="17" s="1"/>
  <c r="I38" i="17"/>
  <c r="H38" i="17"/>
  <c r="I27" i="17"/>
  <c r="H27" i="17"/>
  <c r="F18" i="17"/>
  <c r="F12" i="17" s="1"/>
  <c r="F13" i="17"/>
  <c r="I18" i="17"/>
  <c r="H18" i="17"/>
  <c r="G22" i="17"/>
  <c r="H24" i="17"/>
  <c r="I24" i="17"/>
  <c r="F24" i="17"/>
  <c r="F22" i="17" s="1"/>
  <c r="F23" i="17"/>
  <c r="H9" i="17" l="1"/>
  <c r="I9" i="17"/>
  <c r="G8" i="17"/>
  <c r="I22" i="17"/>
  <c r="H22" i="17"/>
  <c r="F9" i="17"/>
  <c r="F8" i="17" s="1"/>
  <c r="H8" i="17" l="1"/>
  <c r="I8" i="17"/>
  <c r="G42" i="8" l="1"/>
  <c r="F42" i="8"/>
  <c r="E42" i="8"/>
  <c r="G43" i="8"/>
  <c r="H42" i="8"/>
  <c r="E58" i="8" l="1"/>
  <c r="E56" i="8"/>
  <c r="E54" i="8"/>
  <c r="E52" i="8"/>
  <c r="E47" i="8"/>
  <c r="E46" i="8"/>
  <c r="E44" i="8"/>
  <c r="E43" i="8"/>
  <c r="E41" i="8"/>
  <c r="E39" i="8"/>
  <c r="E36" i="8"/>
  <c r="E32" i="8"/>
  <c r="E31" i="8"/>
  <c r="E29" i="8"/>
  <c r="E28" i="8"/>
  <c r="E26" i="8"/>
  <c r="E25" i="8"/>
  <c r="E23" i="8"/>
  <c r="E22" i="8"/>
  <c r="E15" i="8"/>
  <c r="E16" i="8"/>
  <c r="E14" i="8"/>
  <c r="D22" i="20" l="1"/>
  <c r="AE21" i="20" l="1"/>
  <c r="K42" i="16" l="1"/>
  <c r="E39" i="16"/>
  <c r="F39" i="16"/>
  <c r="G19" i="2" l="1"/>
  <c r="F19" i="2" s="1"/>
  <c r="E13" i="2"/>
  <c r="E9" i="11" l="1"/>
  <c r="E12" i="11"/>
  <c r="E27" i="11"/>
  <c r="E25" i="11"/>
  <c r="E22" i="11"/>
  <c r="E20" i="11"/>
  <c r="E18" i="11"/>
  <c r="E16" i="11"/>
  <c r="E14" i="11"/>
  <c r="E39" i="10"/>
  <c r="E35" i="10"/>
  <c r="E31" i="10"/>
  <c r="E26" i="10"/>
  <c r="E24" i="10"/>
  <c r="E22" i="10"/>
  <c r="E20" i="10"/>
  <c r="E19" i="10"/>
  <c r="E17" i="10"/>
  <c r="AE11" i="10"/>
  <c r="AE34" i="10"/>
  <c r="AE18" i="10"/>
  <c r="E20" i="20" l="1"/>
  <c r="E15" i="20"/>
  <c r="E19" i="13" l="1"/>
  <c r="E17" i="13"/>
  <c r="E15" i="13"/>
  <c r="E12" i="13"/>
  <c r="G15" i="12" l="1"/>
  <c r="G13" i="12"/>
  <c r="E15" i="12"/>
  <c r="E13" i="12"/>
  <c r="D15" i="12"/>
  <c r="D13" i="12"/>
  <c r="G15" i="7" l="1"/>
  <c r="G13" i="7"/>
  <c r="F13" i="7"/>
  <c r="E15" i="7"/>
  <c r="E13" i="7"/>
  <c r="E12" i="7" s="1"/>
  <c r="G110" i="1" l="1"/>
  <c r="G111" i="1"/>
  <c r="G109" i="1"/>
  <c r="F109" i="1" s="1"/>
  <c r="AB23" i="8" l="1"/>
  <c r="E100" i="4" l="1"/>
  <c r="E98" i="4"/>
  <c r="E107" i="1" l="1"/>
  <c r="AD105" i="1"/>
  <c r="AB105" i="1"/>
  <c r="E105" i="1" s="1"/>
  <c r="E98" i="1"/>
  <c r="AF91" i="1"/>
  <c r="AB91" i="1"/>
  <c r="E91" i="1" s="1"/>
  <c r="AF89" i="1"/>
  <c r="E89" i="1"/>
  <c r="AF70" i="1"/>
  <c r="AB70" i="1"/>
  <c r="AD69" i="1"/>
  <c r="AB69" i="1"/>
  <c r="E69" i="1"/>
  <c r="AF68" i="1"/>
  <c r="AB68" i="1"/>
  <c r="E70" i="1"/>
  <c r="E68" i="1"/>
  <c r="AF54" i="1"/>
  <c r="E54" i="1"/>
  <c r="L65" i="4" l="1"/>
  <c r="E66" i="4"/>
  <c r="E65" i="4" s="1"/>
  <c r="E55" i="4"/>
  <c r="E57" i="4"/>
  <c r="E78" i="4"/>
  <c r="E79" i="4"/>
  <c r="E89" i="4"/>
  <c r="G51" i="4"/>
  <c r="G42" i="4"/>
  <c r="E19" i="4" l="1"/>
  <c r="AH42" i="4"/>
  <c r="G46" i="4" l="1"/>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F27" i="16" l="1"/>
  <c r="F25" i="16" s="1"/>
  <c r="F24" i="16" s="1"/>
  <c r="E9" i="10" l="1"/>
  <c r="E33" i="10"/>
  <c r="E29" i="10"/>
  <c r="E18" i="10"/>
  <c r="E15" i="10"/>
  <c r="E14" i="10"/>
  <c r="AI20" i="11" l="1"/>
  <c r="P12" i="11"/>
  <c r="K12" i="11"/>
  <c r="K9" i="11" s="1"/>
  <c r="G15" i="2" l="1"/>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K45" i="8" l="1"/>
  <c r="K42" i="8"/>
  <c r="L42" i="8"/>
  <c r="M42" i="8"/>
  <c r="N42" i="8"/>
  <c r="O42" i="8"/>
  <c r="P42" i="8"/>
  <c r="Q42" i="8"/>
  <c r="R42" i="8"/>
  <c r="S42" i="8"/>
  <c r="T42" i="8"/>
  <c r="U42" i="8"/>
  <c r="V42" i="8"/>
  <c r="W42" i="8"/>
  <c r="X42" i="8"/>
  <c r="Y42" i="8"/>
  <c r="Z42" i="8"/>
  <c r="AA42" i="8"/>
  <c r="AB42" i="8"/>
  <c r="AC42" i="8"/>
  <c r="AD42" i="8"/>
  <c r="AE42" i="8"/>
  <c r="AF42" i="8"/>
  <c r="J42" i="8"/>
  <c r="AG11" i="8"/>
  <c r="V11" i="8"/>
  <c r="U11" i="8"/>
  <c r="S11" i="8"/>
  <c r="R11" i="8"/>
  <c r="Q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E37"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E35" i="8" s="1"/>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I43" i="8"/>
  <c r="D43" i="8"/>
  <c r="AG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F43" i="8" l="1"/>
  <c r="AD34" i="8"/>
  <c r="D35" i="8"/>
  <c r="D37" i="8"/>
  <c r="I44" i="8"/>
  <c r="G37" i="8"/>
  <c r="L34" i="8"/>
  <c r="D42" i="8"/>
  <c r="F44" i="8"/>
  <c r="H44" i="8"/>
  <c r="E34" i="8"/>
  <c r="D40" i="8"/>
  <c r="H43" i="8"/>
  <c r="I41" i="8"/>
  <c r="H41" i="8"/>
  <c r="G40" i="8"/>
  <c r="F37" i="8" l="1"/>
  <c r="H37" i="8"/>
  <c r="I37" i="8"/>
  <c r="I42" i="8"/>
  <c r="I40" i="8"/>
  <c r="H40" i="8"/>
  <c r="K19" i="8" l="1"/>
  <c r="L19" i="8"/>
  <c r="M19" i="8"/>
  <c r="N19" i="8"/>
  <c r="O19" i="8"/>
  <c r="P19" i="8"/>
  <c r="Q19" i="8"/>
  <c r="R19" i="8"/>
  <c r="S19" i="8"/>
  <c r="T19" i="8"/>
  <c r="U19" i="8"/>
  <c r="V19" i="8"/>
  <c r="W19" i="8"/>
  <c r="X19" i="8"/>
  <c r="Y19" i="8"/>
  <c r="Z19" i="8"/>
  <c r="AA19" i="8"/>
  <c r="AB19" i="8"/>
  <c r="AC19" i="8"/>
  <c r="AD19" i="8"/>
  <c r="AE19" i="8"/>
  <c r="AF19" i="8"/>
  <c r="AG19" i="8"/>
  <c r="K20" i="8"/>
  <c r="L20" i="8"/>
  <c r="M20" i="8"/>
  <c r="N20" i="8"/>
  <c r="O20" i="8"/>
  <c r="P20" i="8"/>
  <c r="Q20" i="8"/>
  <c r="R20" i="8"/>
  <c r="S20" i="8"/>
  <c r="T20" i="8"/>
  <c r="U20" i="8"/>
  <c r="V20" i="8"/>
  <c r="W20" i="8"/>
  <c r="X20" i="8"/>
  <c r="Y20" i="8"/>
  <c r="Z20" i="8"/>
  <c r="AA20" i="8"/>
  <c r="AB20" i="8"/>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E19" i="8" l="1"/>
  <c r="E20" i="8"/>
  <c r="P11" i="8"/>
  <c r="G30" i="8"/>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H8" i="3" l="1"/>
  <c r="I8" i="3"/>
  <c r="D44" i="16" l="1"/>
  <c r="F23" i="18" l="1"/>
  <c r="G27" i="18"/>
  <c r="Z45" i="1" l="1"/>
  <c r="AF43" i="1"/>
  <c r="AB43" i="1"/>
  <c r="Z43" i="1"/>
  <c r="P25" i="1"/>
  <c r="E25" i="1" s="1"/>
  <c r="G26" i="1"/>
  <c r="F26" i="1" s="1"/>
  <c r="G31" i="1"/>
  <c r="D25" i="1" l="1"/>
  <c r="X29" i="1"/>
  <c r="G29" i="1"/>
  <c r="AA11" i="10" l="1"/>
  <c r="AA10" i="10"/>
  <c r="AA9" i="10"/>
  <c r="AA16" i="10"/>
  <c r="AA18" i="10"/>
  <c r="AA8" i="10" l="1"/>
  <c r="G57" i="16"/>
  <c r="T10" i="2" l="1"/>
  <c r="T11" i="2"/>
  <c r="G14" i="2"/>
  <c r="F15" i="2"/>
  <c r="G18" i="2"/>
  <c r="F18" i="2" s="1"/>
  <c r="F9" i="2" s="1"/>
  <c r="K10" i="2"/>
  <c r="D14" i="2"/>
  <c r="F14" i="2" l="1"/>
  <c r="G13" i="2"/>
  <c r="E17" i="16"/>
  <c r="E43" i="16"/>
  <c r="E46" i="16"/>
  <c r="E44" i="16" s="1"/>
  <c r="E50" i="16"/>
  <c r="E52" i="16"/>
  <c r="AA55" i="16"/>
  <c r="AA56" i="16"/>
  <c r="AA25" i="16"/>
  <c r="E48" i="16" l="1"/>
  <c r="G12" i="12"/>
  <c r="E12" i="12"/>
  <c r="F13" i="12" l="1"/>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R65" i="4" l="1"/>
  <c r="E92" i="4" l="1"/>
  <c r="E53" i="4"/>
  <c r="E51" i="4"/>
  <c r="E44" i="4"/>
  <c r="E21" i="4"/>
  <c r="E20" i="4"/>
  <c r="G24" i="4"/>
  <c r="G20" i="4"/>
  <c r="D21" i="4"/>
  <c r="Y55" i="16" l="1"/>
  <c r="W55" i="16"/>
  <c r="Y56" i="16"/>
  <c r="E51" i="16" l="1"/>
  <c r="D52" i="16"/>
  <c r="F13" i="2" l="1"/>
  <c r="E10" i="2"/>
  <c r="E9" i="2"/>
  <c r="H10" i="9" l="1"/>
  <c r="I10" i="9"/>
  <c r="D14" i="10" l="1"/>
  <c r="D15" i="10"/>
  <c r="D17" i="10"/>
  <c r="D22" i="10"/>
  <c r="D26" i="10"/>
  <c r="D29" i="10"/>
  <c r="D31" i="10"/>
  <c r="G39" i="10"/>
  <c r="G29" i="10"/>
  <c r="G26" i="10"/>
  <c r="G24" i="10"/>
  <c r="G19" i="10"/>
  <c r="G20" i="10"/>
  <c r="G15" i="10"/>
  <c r="F15" i="10"/>
  <c r="G14" i="10"/>
  <c r="G13" i="10"/>
  <c r="G34" i="10"/>
  <c r="W44" i="16" l="1"/>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F14" i="15" s="1"/>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28" i="6" l="1"/>
  <c r="D19" i="6" l="1"/>
  <c r="E41" i="6" l="1"/>
  <c r="E15" i="6"/>
  <c r="E24" i="11" l="1"/>
  <c r="AF25" i="16" l="1"/>
  <c r="AD25" i="16"/>
  <c r="AB25" i="16"/>
  <c r="Z25" i="16"/>
  <c r="X25" i="16"/>
  <c r="V25" i="16"/>
  <c r="T25" i="16"/>
  <c r="R25" i="16"/>
  <c r="Q25" i="16"/>
  <c r="G25" i="16" s="1"/>
  <c r="G24" i="16" s="1"/>
  <c r="I26" i="16" l="1"/>
  <c r="I27" i="16" l="1"/>
  <c r="H27" i="16"/>
  <c r="H26" i="16"/>
  <c r="Q10" i="10"/>
  <c r="P85" i="1" l="1"/>
  <c r="D79" i="1" l="1"/>
  <c r="G79" i="1"/>
  <c r="H79" i="1" l="1"/>
  <c r="F79" i="1"/>
  <c r="I79" i="1"/>
  <c r="O75" i="1" l="1"/>
  <c r="G45" i="1" l="1"/>
  <c r="E14" i="1" l="1"/>
  <c r="D15" i="2" l="1"/>
  <c r="D13" i="2" s="1"/>
  <c r="I14" i="2" l="1"/>
  <c r="H14" i="2"/>
  <c r="AD18" i="2" l="1"/>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E38" i="4" l="1"/>
  <c r="H66" i="4"/>
  <c r="I66" i="4"/>
  <c r="G65" i="4"/>
  <c r="F65" i="4" l="1"/>
  <c r="I65" i="4"/>
  <c r="H65" i="4"/>
  <c r="E9" i="12" l="1"/>
  <c r="F15" i="7" l="1"/>
  <c r="F10" i="7" s="1"/>
  <c r="F12" i="7"/>
  <c r="E14" i="7"/>
  <c r="E9" i="7"/>
  <c r="J50" i="8" l="1"/>
  <c r="D58" i="8"/>
  <c r="E58" i="16" l="1"/>
  <c r="E60" i="16"/>
  <c r="E32" i="16" l="1"/>
  <c r="G61" i="16"/>
  <c r="G60" i="16" s="1"/>
  <c r="M24" i="16"/>
  <c r="E21" i="16"/>
  <c r="E18" i="16"/>
  <c r="E14" i="16"/>
  <c r="M31" i="16"/>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6" i="16"/>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D54" i="16" s="1"/>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F55" i="16" s="1"/>
  <c r="J55" i="16"/>
  <c r="AG54" i="16"/>
  <c r="AF54" i="16"/>
  <c r="AE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E40" i="16"/>
  <c r="D41" i="16"/>
  <c r="D40" i="16" s="1"/>
  <c r="AF40" i="16"/>
  <c r="AD40" i="16"/>
  <c r="AC40" i="16"/>
  <c r="AB40" i="16"/>
  <c r="AA40" i="16"/>
  <c r="Z40" i="16"/>
  <c r="Y40" i="16"/>
  <c r="X40" i="16"/>
  <c r="W40" i="16"/>
  <c r="V40" i="16"/>
  <c r="U40" i="16"/>
  <c r="T40" i="16"/>
  <c r="S40" i="16"/>
  <c r="R40" i="16"/>
  <c r="Q40" i="16"/>
  <c r="P40" i="16"/>
  <c r="O40" i="16"/>
  <c r="N40" i="16"/>
  <c r="M40" i="16"/>
  <c r="L40" i="16"/>
  <c r="K40" i="16"/>
  <c r="J40" i="16"/>
  <c r="G39" i="16"/>
  <c r="D39" i="16"/>
  <c r="D38" i="16" s="1"/>
  <c r="AG38" i="16"/>
  <c r="AF38" i="16"/>
  <c r="AD38" i="16"/>
  <c r="AC38" i="16"/>
  <c r="AB38" i="16"/>
  <c r="AA38" i="16"/>
  <c r="Z38" i="16"/>
  <c r="Y38" i="16"/>
  <c r="X38" i="16"/>
  <c r="W38" i="16"/>
  <c r="V38" i="16"/>
  <c r="U38" i="16"/>
  <c r="T38" i="16"/>
  <c r="S38" i="16"/>
  <c r="R38" i="16"/>
  <c r="Q38" i="16"/>
  <c r="P38" i="16"/>
  <c r="O38" i="16"/>
  <c r="N38" i="16"/>
  <c r="M38" i="16"/>
  <c r="L38" i="16"/>
  <c r="K38" i="16"/>
  <c r="J38" i="16"/>
  <c r="F36" i="16"/>
  <c r="E36" i="16"/>
  <c r="D37" i="16"/>
  <c r="D36" i="16" s="1"/>
  <c r="AF36" i="16"/>
  <c r="AD36" i="16"/>
  <c r="AC36" i="16"/>
  <c r="AB36" i="16"/>
  <c r="AA36" i="16"/>
  <c r="Z36" i="16"/>
  <c r="Y36" i="16"/>
  <c r="X36" i="16"/>
  <c r="W36" i="16"/>
  <c r="V36" i="16"/>
  <c r="U36" i="16"/>
  <c r="T36" i="16"/>
  <c r="S36" i="16"/>
  <c r="R36" i="16"/>
  <c r="Q36" i="16"/>
  <c r="P36" i="16"/>
  <c r="O36" i="16"/>
  <c r="N36" i="16"/>
  <c r="M36" i="16"/>
  <c r="L36" i="16"/>
  <c r="K36" i="16"/>
  <c r="J36" i="16"/>
  <c r="AF35" i="16"/>
  <c r="AF34" i="16" s="1"/>
  <c r="AE35" i="16"/>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M35" i="16"/>
  <c r="M34" i="16" s="1"/>
  <c r="L35" i="16"/>
  <c r="K30" i="16"/>
  <c r="J35" i="16"/>
  <c r="D33" i="16"/>
  <c r="D32" i="16" s="1"/>
  <c r="AG32" i="16"/>
  <c r="AF32" i="16"/>
  <c r="AE32" i="16"/>
  <c r="AD32" i="16"/>
  <c r="AC32" i="16"/>
  <c r="AB32" i="16"/>
  <c r="AA32" i="16"/>
  <c r="Z32" i="16"/>
  <c r="Y32" i="16"/>
  <c r="X32" i="16"/>
  <c r="W32" i="16"/>
  <c r="V32" i="16"/>
  <c r="U32" i="16"/>
  <c r="T32" i="16"/>
  <c r="S32" i="16"/>
  <c r="R32" i="16"/>
  <c r="Q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F14" i="16"/>
  <c r="AE14" i="16"/>
  <c r="AD14" i="16"/>
  <c r="AC14" i="16"/>
  <c r="AB14" i="16"/>
  <c r="AA14" i="16"/>
  <c r="Z14" i="16"/>
  <c r="Y14" i="16"/>
  <c r="X14" i="16"/>
  <c r="W14" i="16"/>
  <c r="V14" i="16"/>
  <c r="U14" i="16"/>
  <c r="T14" i="16"/>
  <c r="S14" i="16"/>
  <c r="R14" i="16"/>
  <c r="Q14" i="16"/>
  <c r="P14" i="16"/>
  <c r="O14" i="16"/>
  <c r="N14" i="16"/>
  <c r="M14" i="16"/>
  <c r="L14" i="16"/>
  <c r="K14" i="16"/>
  <c r="J14" i="16"/>
  <c r="AG13" i="16"/>
  <c r="AG12" i="16" s="1"/>
  <c r="AF13" i="16"/>
  <c r="AE13" i="16"/>
  <c r="AD13" i="16"/>
  <c r="AC13" i="16"/>
  <c r="AC12" i="16" s="1"/>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F12" i="16"/>
  <c r="AE12" i="16"/>
  <c r="AD12" i="16"/>
  <c r="AB12" i="16"/>
  <c r="W10" i="16"/>
  <c r="AG35" i="16" l="1"/>
  <c r="AG34" i="16" s="1"/>
  <c r="AG36" i="16"/>
  <c r="E55" i="16"/>
  <c r="E54" i="16" s="1"/>
  <c r="U30" i="16"/>
  <c r="N34" i="16"/>
  <c r="AE34" i="16"/>
  <c r="G35" i="16"/>
  <c r="U34" i="16"/>
  <c r="K47" i="16"/>
  <c r="G48" i="16"/>
  <c r="F48" i="16" s="1"/>
  <c r="R10" i="16"/>
  <c r="E47" i="16"/>
  <c r="Y34" i="16"/>
  <c r="G58" i="16"/>
  <c r="I58" i="16" s="1"/>
  <c r="G32" i="16"/>
  <c r="I32" i="16" s="1"/>
  <c r="F33" i="16"/>
  <c r="F32" i="16" s="1"/>
  <c r="X12" i="16"/>
  <c r="E34" i="16"/>
  <c r="G31" i="16"/>
  <c r="F31" i="16" s="1"/>
  <c r="AA29" i="16"/>
  <c r="W29" i="16"/>
  <c r="J12" i="16"/>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I24" i="16"/>
  <c r="L30" i="16"/>
  <c r="I39" i="16"/>
  <c r="I41" i="16"/>
  <c r="I43" i="16"/>
  <c r="I50" i="16"/>
  <c r="M30" i="16"/>
  <c r="M29" i="16" s="1"/>
  <c r="G36" i="16"/>
  <c r="H36" i="16" s="1"/>
  <c r="I52" i="16"/>
  <c r="I57" i="16"/>
  <c r="G14" i="16"/>
  <c r="I14" i="16" s="1"/>
  <c r="I17" i="16"/>
  <c r="I22" i="16"/>
  <c r="Y30" i="16"/>
  <c r="Y29" i="16" s="1"/>
  <c r="G38" i="16"/>
  <c r="H38" i="16" s="1"/>
  <c r="I40" i="16"/>
  <c r="G42" i="16"/>
  <c r="I42" i="16" s="1"/>
  <c r="S10" i="16"/>
  <c r="G21" i="16"/>
  <c r="I21" i="16" s="1"/>
  <c r="J30" i="16"/>
  <c r="D31" i="16"/>
  <c r="H31" i="16" s="1"/>
  <c r="G55" i="16"/>
  <c r="F54" i="16" s="1"/>
  <c r="I60" i="16"/>
  <c r="G16" i="16"/>
  <c r="I16" i="16" s="1"/>
  <c r="F13" i="16"/>
  <c r="F12" i="16" s="1"/>
  <c r="F41" i="16"/>
  <c r="F43" i="16"/>
  <c r="F42" i="16" s="1"/>
  <c r="G51" i="16"/>
  <c r="F51" i="16" s="1"/>
  <c r="G56" i="16"/>
  <c r="H37" i="16"/>
  <c r="H39" i="16"/>
  <c r="H41" i="16"/>
  <c r="H43" i="16"/>
  <c r="H45" i="16"/>
  <c r="H58"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44" i="16"/>
  <c r="F50" i="16"/>
  <c r="F49" i="16" s="1"/>
  <c r="F52" i="16"/>
  <c r="F56" i="16"/>
  <c r="F60" i="16"/>
  <c r="H15" i="16"/>
  <c r="H17" i="16"/>
  <c r="H19" i="16"/>
  <c r="H22" i="16"/>
  <c r="H25" i="16"/>
  <c r="T30" i="16"/>
  <c r="AF30" i="16"/>
  <c r="H50" i="16"/>
  <c r="H52" i="16"/>
  <c r="H57" i="16"/>
  <c r="H59" i="16"/>
  <c r="H61" i="16"/>
  <c r="G44" i="16"/>
  <c r="AA9" i="16"/>
  <c r="AA8" i="16" s="1"/>
  <c r="AG30" i="16"/>
  <c r="K24" i="5"/>
  <c r="H32" i="16" l="1"/>
  <c r="H14" i="16"/>
  <c r="F38" i="16"/>
  <c r="E38" i="16" s="1"/>
  <c r="H42" i="16"/>
  <c r="D10" i="16"/>
  <c r="X9" i="16"/>
  <c r="R29" i="16"/>
  <c r="Z29" i="16"/>
  <c r="D30" i="16"/>
  <c r="D29" i="16" s="1"/>
  <c r="V29" i="16"/>
  <c r="G10" i="16"/>
  <c r="I31" i="16"/>
  <c r="Y9" i="16"/>
  <c r="F47" i="16"/>
  <c r="G47" i="16"/>
  <c r="I47" i="16" s="1"/>
  <c r="O9" i="16"/>
  <c r="O8" i="16" s="1"/>
  <c r="N9" i="16"/>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H10" i="16" l="1"/>
  <c r="N8" i="16"/>
  <c r="E9" i="16"/>
  <c r="E8" i="16" s="1"/>
  <c r="D9" i="16"/>
  <c r="D8" i="16" s="1"/>
  <c r="AE8" i="16"/>
  <c r="G9" i="16"/>
  <c r="F9" i="16" s="1"/>
  <c r="F10" i="16"/>
  <c r="I10"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102" i="1" s="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AB8" i="1" s="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AG23" i="10"/>
  <c r="AF23" i="10"/>
  <c r="AE23" i="10"/>
  <c r="AD23" i="10"/>
  <c r="AC23" i="10"/>
  <c r="AB23" i="10"/>
  <c r="AA23" i="10"/>
  <c r="Z23" i="10"/>
  <c r="Y23" i="10"/>
  <c r="X23" i="10"/>
  <c r="W23" i="10"/>
  <c r="V23" i="10"/>
  <c r="U23" i="10"/>
  <c r="T23" i="10"/>
  <c r="S23" i="10"/>
  <c r="R23" i="10"/>
  <c r="Q23" i="10"/>
  <c r="P23" i="10"/>
  <c r="O23" i="10"/>
  <c r="N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G8" i="10" s="1"/>
  <c r="AF11" i="10"/>
  <c r="AD11" i="10"/>
  <c r="AC11" i="10"/>
  <c r="AB11" i="10"/>
  <c r="Z11" i="10"/>
  <c r="Y11" i="10"/>
  <c r="X11" i="10"/>
  <c r="W11" i="10"/>
  <c r="V11" i="10"/>
  <c r="U11" i="10"/>
  <c r="T11" i="10"/>
  <c r="P11" i="10"/>
  <c r="AG10" i="10"/>
  <c r="AF10" i="10"/>
  <c r="AE10" i="10"/>
  <c r="AD10" i="10"/>
  <c r="AC10" i="10"/>
  <c r="AB10" i="10"/>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E10" i="10" l="1"/>
  <c r="AB8" i="10"/>
  <c r="E11" i="10"/>
  <c r="E8" i="10" s="1"/>
  <c r="E8" i="1"/>
  <c r="D10" i="10"/>
  <c r="L8" i="10"/>
  <c r="P8" i="10"/>
  <c r="AE8" i="10"/>
  <c r="D11"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U30" i="18"/>
  <c r="T30" i="18"/>
  <c r="T29" i="18" s="1"/>
  <c r="S30" i="18"/>
  <c r="S29" i="18" s="1"/>
  <c r="R30" i="18"/>
  <c r="R29" i="18" s="1"/>
  <c r="Q30" i="18"/>
  <c r="P30" i="18"/>
  <c r="P29" i="18" s="1"/>
  <c r="O30" i="18"/>
  <c r="O29" i="18" s="1"/>
  <c r="N30" i="18"/>
  <c r="M30" i="18"/>
  <c r="L30" i="18"/>
  <c r="L29" i="18" s="1"/>
  <c r="K30" i="18"/>
  <c r="K29" i="18" s="1"/>
  <c r="J30" i="18"/>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E11" i="18" s="1"/>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F20" i="11" s="1"/>
  <c r="F19" i="11" s="1"/>
  <c r="E19" i="11"/>
  <c r="AI19" i="11" s="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2" i="11"/>
  <c r="AC11" i="11" s="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B9" i="15" s="1"/>
  <c r="AB8" i="15" s="1"/>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Y9" i="15"/>
  <c r="Y8" i="15" s="1"/>
  <c r="X9" i="15"/>
  <c r="X8" i="15" s="1"/>
  <c r="R9" i="15"/>
  <c r="R8" i="15" s="1"/>
  <c r="Q8" i="15"/>
  <c r="J9" i="15"/>
  <c r="J8" i="15" s="1"/>
  <c r="V29" i="18" l="1"/>
  <c r="E30" i="18"/>
  <c r="E29" i="18"/>
  <c r="F16" i="11"/>
  <c r="F15" i="11" s="1"/>
  <c r="AI16" i="11"/>
  <c r="G13" i="11"/>
  <c r="AI14" i="11"/>
  <c r="AI13" i="11"/>
  <c r="F27" i="1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Y9" i="18"/>
  <c r="Y8" i="18" s="1"/>
  <c r="AE8" i="18"/>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G24" i="11"/>
  <c r="AI24" i="11" s="1"/>
  <c r="N9" i="11"/>
  <c r="N8" i="11" s="1"/>
  <c r="P11" i="11"/>
  <c r="X11" i="11"/>
  <c r="AF11" i="11"/>
  <c r="F14" i="11"/>
  <c r="F13" i="11" s="1"/>
  <c r="F18" i="11"/>
  <c r="F17" i="11" s="1"/>
  <c r="F22" i="11"/>
  <c r="F21" i="11" s="1"/>
  <c r="F26" i="1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AG84" i="4"/>
  <c r="AF84" i="4"/>
  <c r="AE84" i="4"/>
  <c r="AD84" i="4"/>
  <c r="AC84" i="4"/>
  <c r="AB84" i="4"/>
  <c r="AA84" i="4"/>
  <c r="Z84" i="4"/>
  <c r="Y84" i="4"/>
  <c r="X84" i="4"/>
  <c r="W84" i="4"/>
  <c r="V84" i="4"/>
  <c r="U84" i="4"/>
  <c r="T84" i="4"/>
  <c r="S84" i="4"/>
  <c r="R84" i="4"/>
  <c r="Q84" i="4"/>
  <c r="P84" i="4"/>
  <c r="O84" i="4"/>
  <c r="N84" i="4"/>
  <c r="M84" i="4"/>
  <c r="L84" i="4"/>
  <c r="K84" i="4"/>
  <c r="J84" i="4"/>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D33"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V8" i="18" l="1"/>
  <c r="F9" i="18"/>
  <c r="E9" i="18"/>
  <c r="D9" i="18"/>
  <c r="D8" i="18" s="1"/>
  <c r="G9" i="4"/>
  <c r="E39" i="4"/>
  <c r="G47" i="4"/>
  <c r="E15" i="4"/>
  <c r="E16" i="4"/>
  <c r="E17" i="4"/>
  <c r="E84" i="4"/>
  <c r="E85" i="4"/>
  <c r="AI17" i="11"/>
  <c r="M8" i="11"/>
  <c r="F9" i="11"/>
  <c r="G9" i="11"/>
  <c r="AI9" i="11" s="1"/>
  <c r="E96" i="4"/>
  <c r="E95" i="4" s="1"/>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8" i="15"/>
  <c r="I11" i="15"/>
  <c r="I24" i="18"/>
  <c r="H24" i="18"/>
  <c r="I15" i="11"/>
  <c r="H15" i="11"/>
  <c r="I26" i="18"/>
  <c r="H26" i="18"/>
  <c r="H29" i="18"/>
  <c r="I29" i="18"/>
  <c r="I30" i="18"/>
  <c r="H30" i="18"/>
  <c r="F30" i="18"/>
  <c r="F29" i="18" s="1"/>
  <c r="F8" i="11"/>
  <c r="I26" i="11"/>
  <c r="H26" i="11"/>
  <c r="F24" i="11"/>
  <c r="K10" i="4"/>
  <c r="D30" i="4"/>
  <c r="D11" i="15"/>
  <c r="H11" i="15" s="1"/>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K8" i="18"/>
  <c r="G11" i="18"/>
  <c r="F12" i="18"/>
  <c r="F11" i="18" s="1"/>
  <c r="D9" i="11"/>
  <c r="I24" i="11"/>
  <c r="H24" i="11"/>
  <c r="I13" i="11"/>
  <c r="H13" i="11"/>
  <c r="I13" i="15"/>
  <c r="H13" i="15"/>
  <c r="I8" i="7"/>
  <c r="H12" i="7"/>
  <c r="H14" i="7"/>
  <c r="I9" i="7"/>
  <c r="F14" i="7"/>
  <c r="H13" i="7"/>
  <c r="H15" i="7"/>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7" i="4"/>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E14" i="20" s="1"/>
  <c r="K13" i="20"/>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G13" i="20"/>
  <c r="AG9" i="20" s="1"/>
  <c r="J13" i="20"/>
  <c r="E13" i="20" s="1"/>
  <c r="AD21" i="20"/>
  <c r="AB21" i="20"/>
  <c r="AA21" i="20"/>
  <c r="Z21" i="20"/>
  <c r="Y21" i="20"/>
  <c r="X21" i="20"/>
  <c r="W21" i="20"/>
  <c r="V21" i="20"/>
  <c r="U21" i="20"/>
  <c r="T21" i="20"/>
  <c r="S21" i="20"/>
  <c r="R21" i="20"/>
  <c r="Q21" i="20"/>
  <c r="P21" i="20"/>
  <c r="O21" i="20"/>
  <c r="N21" i="20"/>
  <c r="M21" i="20"/>
  <c r="L21" i="20"/>
  <c r="E21" i="20"/>
  <c r="AG21" i="20"/>
  <c r="AF21" i="20"/>
  <c r="AC21" i="20"/>
  <c r="D20" i="20"/>
  <c r="G19" i="20"/>
  <c r="E19" i="20"/>
  <c r="E18" i="20" s="1"/>
  <c r="D19" i="20"/>
  <c r="AG18" i="20"/>
  <c r="AE18" i="20"/>
  <c r="AD18" i="20"/>
  <c r="AC18" i="20"/>
  <c r="AB18" i="20"/>
  <c r="AA18" i="20"/>
  <c r="Z18" i="20"/>
  <c r="Y18" i="20"/>
  <c r="X18" i="20"/>
  <c r="W18" i="20"/>
  <c r="V18" i="20"/>
  <c r="U18" i="20"/>
  <c r="T18" i="20"/>
  <c r="S18" i="20"/>
  <c r="R18" i="20"/>
  <c r="Q18" i="20"/>
  <c r="P18" i="20"/>
  <c r="O18" i="20"/>
  <c r="N18" i="20"/>
  <c r="M18" i="20"/>
  <c r="L18" i="20"/>
  <c r="K18" i="20"/>
  <c r="J18" i="20"/>
  <c r="D17"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K9" i="20" l="1"/>
  <c r="G13" i="20"/>
  <c r="K10" i="20"/>
  <c r="G14" i="20"/>
  <c r="F14" i="20" s="1"/>
  <c r="E10" i="4"/>
  <c r="AF8" i="20"/>
  <c r="G8" i="11"/>
  <c r="I9" i="11"/>
  <c r="E8" i="11"/>
  <c r="I8" i="11" s="1"/>
  <c r="F16" i="20"/>
  <c r="G15" i="20"/>
  <c r="AE8" i="4"/>
  <c r="H11" i="11"/>
  <c r="I11" i="11"/>
  <c r="AI8" i="11"/>
  <c r="AB8" i="20"/>
  <c r="U8" i="20"/>
  <c r="AG8" i="20"/>
  <c r="J9" i="20"/>
  <c r="J10" i="20"/>
  <c r="E10" i="20" s="1"/>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34" i="4"/>
  <c r="I18" i="4"/>
  <c r="H18" i="4"/>
  <c r="F40" i="4"/>
  <c r="K11" i="4"/>
  <c r="I96" i="4"/>
  <c r="H96" i="4"/>
  <c r="F96" i="4"/>
  <c r="F95" i="4" s="1"/>
  <c r="G95" i="4"/>
  <c r="I15" i="4"/>
  <c r="H15" i="4"/>
  <c r="F15" i="4"/>
  <c r="J34" i="4"/>
  <c r="J12" i="4"/>
  <c r="E12" i="4" s="1"/>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N12" i="20"/>
  <c r="Z12" i="20"/>
  <c r="Q12" i="20"/>
  <c r="O12" i="20"/>
  <c r="AA12" i="20"/>
  <c r="U12" i="20"/>
  <c r="I17" i="20"/>
  <c r="G18" i="20"/>
  <c r="F21" i="20"/>
  <c r="AG12" i="20"/>
  <c r="V12" i="20"/>
  <c r="I19" i="20"/>
  <c r="W12" i="20"/>
  <c r="L12" i="20"/>
  <c r="X12" i="20"/>
  <c r="D15" i="20"/>
  <c r="H20" i="20"/>
  <c r="H16" i="20"/>
  <c r="I16" i="20"/>
  <c r="AB12" i="20"/>
  <c r="D13" i="20"/>
  <c r="J21" i="20"/>
  <c r="H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G9" i="20" l="1"/>
  <c r="F9" i="20" s="1"/>
  <c r="P8" i="4"/>
  <c r="E11" i="4"/>
  <c r="G10" i="20"/>
  <c r="F10" i="20" s="1"/>
  <c r="J8" i="4"/>
  <c r="E9" i="20"/>
  <c r="E8" i="20" s="1"/>
  <c r="D9" i="20"/>
  <c r="J8" i="20"/>
  <c r="E23" i="14"/>
  <c r="E25" i="14"/>
  <c r="X10" i="14"/>
  <c r="E24" i="14"/>
  <c r="V10" i="14"/>
  <c r="T10" i="14"/>
  <c r="R10" i="14"/>
  <c r="J9" i="14"/>
  <c r="J11" i="14"/>
  <c r="E11" i="14" s="1"/>
  <c r="J10" i="14"/>
  <c r="N10" i="14"/>
  <c r="P22" i="14"/>
  <c r="P9" i="14"/>
  <c r="L22" i="14"/>
  <c r="L9" i="14"/>
  <c r="K22" i="14"/>
  <c r="F37" i="4"/>
  <c r="I8" i="18"/>
  <c r="H8" i="18"/>
  <c r="D11" i="4"/>
  <c r="D21"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F12" i="20" s="1"/>
  <c r="D10" i="20"/>
  <c r="G21" i="20"/>
  <c r="D12" i="20"/>
  <c r="F15" i="20"/>
  <c r="G12" i="20"/>
  <c r="I14" i="20"/>
  <c r="H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K10" i="9"/>
  <c r="L10" i="9"/>
  <c r="M10" i="9"/>
  <c r="N10" i="9"/>
  <c r="O10" i="9"/>
  <c r="P10" i="9"/>
  <c r="Q10" i="9"/>
  <c r="R10" i="9"/>
  <c r="S10" i="9"/>
  <c r="T10" i="9"/>
  <c r="U10" i="9"/>
  <c r="W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E9" i="8" s="1"/>
  <c r="AE9" i="8"/>
  <c r="AF9" i="8"/>
  <c r="D9" i="8" s="1"/>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I11" i="4" l="1"/>
  <c r="AE11" i="8"/>
  <c r="AB49" i="8"/>
  <c r="E50" i="8"/>
  <c r="E8" i="4"/>
  <c r="AD49" i="8"/>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E10" i="8" s="1"/>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7" i="9"/>
  <c r="G27" i="9"/>
  <c r="H10"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AC8" i="9"/>
  <c r="AB8" i="9"/>
  <c r="AF8" i="9"/>
  <c r="I15" i="9"/>
  <c r="AG8" i="9"/>
  <c r="V8" i="9"/>
  <c r="K8" i="9"/>
  <c r="W8" i="9"/>
  <c r="X8" i="9"/>
  <c r="N8"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G34" i="8" s="1"/>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D10" i="8"/>
  <c r="F35" i="8"/>
  <c r="F34" i="8" s="1"/>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H9" i="8" l="1"/>
  <c r="D8" i="8"/>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I13" i="2"/>
  <c r="J8" i="2"/>
  <c r="Z8" i="2"/>
  <c r="W8" i="2"/>
  <c r="K8" i="2"/>
  <c r="AE8" i="2"/>
  <c r="S8" i="2"/>
  <c r="G17" i="2"/>
  <c r="D9" i="2"/>
  <c r="R8" i="2"/>
  <c r="I18" i="2"/>
  <c r="H18" i="2"/>
  <c r="T8" i="2"/>
  <c r="N8" i="2"/>
  <c r="M8" i="2"/>
  <c r="X8" i="2"/>
  <c r="V8" i="2"/>
  <c r="Y8" i="2"/>
  <c r="AG8" i="2"/>
  <c r="U8" i="2"/>
  <c r="I19" i="2"/>
  <c r="D19" i="2"/>
  <c r="D10" i="2" s="1"/>
  <c r="D8" i="2" s="1"/>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 r="I14" i="9"/>
  <c r="F14" i="9"/>
  <c r="H14" i="9"/>
  <c r="G14" i="9"/>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EA10DEE0-4CB9-45A6-A16A-49F52E056CD0}"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54D4A44E-D92D-4534-AA07-D631455D85C6}"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AC230D67-BDF8-454E-BADC-08876498F58A}"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<sst xmlns="http://schemas.openxmlformats.org/spreadsheetml/2006/main" count="2143" uniqueCount="465">
  <si>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</si>
  <si>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</si>
  <si>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</si>
  <si>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</si>
  <si>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</si>
  <si>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</si>
  <si>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</si>
  <si>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</si>
  <si>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</si>
  <si>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</si>
  <si>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</si>
  <si>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</si>
  <si>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</si>
  <si>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</si>
  <si>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</si>
  <si>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</si>
  <si>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</si>
  <si>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</si>
  <si>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</si>
  <si>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</si>
  <si>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</si>
  <si>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</si>
  <si>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</si>
  <si>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</si>
  <si>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</si>
  <si>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</si>
  <si>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</si>
  <si>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</si>
  <si>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</si>
  <si>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</si>
  <si>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</si>
  <si>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</si>
  <si>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</si>
  <si>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</si>
  <si>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</si>
  <si>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</si>
  <si>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</si>
  <si>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</si>
  <si>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</si>
  <si>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</si>
  <si>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</si>
  <si>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</si>
  <si>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</si>
  <si>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</si>
  <si>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</si>
  <si>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</si>
  <si>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</si>
  <si>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</si>
  <si>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</si>
  <si>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</si>
  <si>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</si>
  <si>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</si>
  <si>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</si>
  <si>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</si>
  <si>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</si>
  <si>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</si>
  <si>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</si>
  <si>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</si>
  <si>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</si>
  <si>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</si>
  <si>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</si>
  <si>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</si>
  <si>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</si>
  <si>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</si>
  <si>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</si>
  <si>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</si>
  <si>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</si>
  <si>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</si>
  <si>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</si>
  <si>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</si>
  <si>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</si>
  <si>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</si>
  <si>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</si>
  <si>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</si>
  <si>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</si>
  <si>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</si>
  <si>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</si>
  <si>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</si>
  <si>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</si>
  <si>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</si>
  <si>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</si>
  <si>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</si>
  <si>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</si>
  <si>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</si>
  <si>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</si>
  <si>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</si>
  <si>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</si>
  <si>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</si>
  <si>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</si>
  <si>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</si>
  <si>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</si>
  <si>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</si>
  <si>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</si>
  <si>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</si>
  <si>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</si>
  <si>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</si>
  <si>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</si>
  <si>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</si>
  <si>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</si>
  <si>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</si>
  <si>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</si>
  <si>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</si>
  <si>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</si>
  <si>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</si>
  <si>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</si>
  <si>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</si>
  <si>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</si>
  <si>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</si>
  <si>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</si>
  <si>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</si>
  <si>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</si>
  <si>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</si>
  <si>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</si>
  <si>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</si>
  <si>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</si>
  <si>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</si>
  <si>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</si>
  <si>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</si>
  <si>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</si>
  <si>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</si>
  <si>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</si>
  <si>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</si>
  <si>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</si>
  <si>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</si>
  <si>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</si>
  <si>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</si>
  <si>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</si>
  <si>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</si>
  <si>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</si>
  <si>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</si>
  <si>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</si>
  <si>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</si>
  <si>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</si>
  <si>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</si>
  <si>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</si>
  <si>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</si>
  <si>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</si>
  <si>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</si>
  <si>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</si>
  <si>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</si>
  <si>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</si>
  <si>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</si>
  <si>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</si>
  <si>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</si>
  <si>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</si>
  <si>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</si>
  <si>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</si>
  <si>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</si>
  <si>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</si>
  <si>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</si>
  <si>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</si>
  <si>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</si>
  <si>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</si>
  <si>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</si>
  <si>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</si>
  <si>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</si>
  <si>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</si>
  <si>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</si>
  <si>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</si>
  <si>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</si>
  <si>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</si>
  <si>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</si>
  <si>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</si>
  <si>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</si>
  <si>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</si>
  <si>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</si>
  <si>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</si>
  <si>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</si>
  <si>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</si>
  <si>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</si>
  <si>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</si>
  <si>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</si>
  <si>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</si>
  <si>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</si>
  <si>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</si>
  <si>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</si>
  <si>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</si>
  <si>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</si>
  <si>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</si>
  <si>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</si>
  <si>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</si>
  <si>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</si>
  <si>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</si>
  <si>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</si>
  <si>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</si>
  <si>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</si>
  <si>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</si>
  <si>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</si>
  <si>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</si>
  <si>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</si>
  <si>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</si>
  <si>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</si>
  <si>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</si>
  <si>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</si>
  <si>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</si>
  <si>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</si>
  <si>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</si>
  <si>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</si>
  <si>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</si>
  <si>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</si>
  <si>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</si>
  <si>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</si>
  <si>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</si>
  <si>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</si>
  <si>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</si>
  <si>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</si>
  <si>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</si>
  <si>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</si>
  <si>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</si>
  <si>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</si>
  <si>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</si>
  <si>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</si>
  <si>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</si>
  <si>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</si>
  <si>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</si>
  <si>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</si>
  <si>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</si>
  <si>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</si>
  <si>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</si>
  <si>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</si>
  <si>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</si>
  <si>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</si>
  <si>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</si>
  <si>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</si>
  <si>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</si>
  <si>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</si>
  <si>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</si>
  <si>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</si>
  <si>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</si>
  <si>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</si>
  <si>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</si>
  <si>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</si>
  <si>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</si>
  <si>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</si>
  <si>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</si>
  <si>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</si>
  <si>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</si>
  <si>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</si>
  <si>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</si>
  <si>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</si>
  <si>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</si>
  <si>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</si>
  <si>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</si>
  <si>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</si>
  <si>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</si>
  <si>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</si>
  <si>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</si>
  <si>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</si>
  <si>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</si>
  <si>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</si>
  <si>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</si>
  <si>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</si>
  <si>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</si>
  <si>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</si>
  <si>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</si>
  <si>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</si>
  <si>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</si>
  <si>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</si>
  <si>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</si>
  <si>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</si>
  <si>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</si>
  <si>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</si>
  <si>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</si>
  <si>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</si>
  <si>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</si>
  <si>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</si>
  <si>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</si>
  <si>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</si>
  <si>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</si>
  <si>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</si>
  <si>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</si>
  <si>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</si>
  <si>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</si>
  <si>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</si>
  <si>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</si>
  <si>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</si>
  <si>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</si>
  <si>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</si>
  <si>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</si>
  <si>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</si>
  <si>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</si>
  <si>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</si>
  <si>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</si>
  <si>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</si>
  <si>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</si>
  <si>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</si>
  <si>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</si>
  <si>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</si>
  <si>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</si>
  <si>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</si>
  <si>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</si>
  <si>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</si>
  <si>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</si>
  <si>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</si>
  <si>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</si>
  <si>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</si>
  <si>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</si>
  <si>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</si>
  <si>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</si>
  <si>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</si>
  <si>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</si>
  <si>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</si>
  <si>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</si>
  <si>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</si>
  <si>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</si>
  <si>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</si>
  <si>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</si>
  <si>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</si>
  <si>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</si>
  <si>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</si>
  <si>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</si>
  <si>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</si>
  <si>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</si>
  <si>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</si>
  <si>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</si>
  <si>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</si>
  <si>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</si>
  <si>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</si>
  <si>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</si>
  <si>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</si>
  <si>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</si>
  <si>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</si>
  <si>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</si>
  <si>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</si>
  <si>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</si>
  <si>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</si>
  <si>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</si>
  <si>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</si>
  <si>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</si>
  <si>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</si>
  <si>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</si>
  <si>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</si>
  <si>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</si>
  <si>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</si>
  <si>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</si>
  <si>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</si>
  <si>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</si>
  <si>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</si>
  <si>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</si>
  <si>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</si>
  <si>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</si>
  <si>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</si>
  <si>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</si>
  <si>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</si>
  <si>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</si>
  <si>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</si>
  <si>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</si>
  <si>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</si>
  <si>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</si>
  <si>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</si>
  <si>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</si>
  <si>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</si>
  <si>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</si>
  <si>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</si>
  <si>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</si>
  <si>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</si>
  <si>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</si>
  <si>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</si>
  <si>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</si>
  <si>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</si>
  <si>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</si>
  <si>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</si>
  <si>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</si>
  <si>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</si>
  <si>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</si>
  <si>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</si>
  <si>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</si>
  <si>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</si>
  <si>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</si>
  <si>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</si>
  <si>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</si>
  <si>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</si>
  <si>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</si>
  <si>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</si>
  <si>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</si>
  <si>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</si>
  <si>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</si>
  <si>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</si>
  <si>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</si>
  <si>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</si>
  <si>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</si>
  <si>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</si>
  <si>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</si>
  <si>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</si>
  <si>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</si>
  <si>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</si>
  <si>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</si>
  <si>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</si>
  <si>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</si>
  <si>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</si>
  <si>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</si>
  <si>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</si>
  <si>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</si>
  <si>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</si>
  <si>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</si>
  <si>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</si>
  <si>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</si>
  <si>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</si>
  <si>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</si>
  <si>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</si>
  <si>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</si>
  <si>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</si>
  <si>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</si>
  <si>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</si>
  <si>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</si>
  <si>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</si>
  <si>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</si>
  <si>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</si>
  <si>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</si>
  <si>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</si>
  <si>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</si>
  <si>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</si>
  <si>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</si>
  <si>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</si>
  <si>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</si>
  <si>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</si>
  <si>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</si>
  <si>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</si>
  <si>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</si>
  <si>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</si>
  <si>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</si>
  <si>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</si>
  <si>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</si>
  <si>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</si>
  <si>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</si>
  <si>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</si>
  <si>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t>Оплата прошла в полном бьеме, проет выполнен</t>
  </si>
  <si>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</si>
  <si>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</si>
  <si>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 xml:space="preserve">Прием заявок на участие в отборе на предоставление гранта в рамках Конкурс социально значимых проектов среди социально ориентированных некоммерческих организаций города Когалыма в период с 19.11 до 15.12 2025 года </t>
  </si>
  <si>
    <t>Экономия в сумме 1143,07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</si>
  <si>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Экономия в сумме 280,77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</si>
  <si>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422,60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</si>
  <si>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577,23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577,23  тыс.рублей
-срок выполнения работ 30.04.2025;
-работы выполнены и оплачены в полном объеме.
4. Заключен муниципальный контракт №0187300013725000192 от 01.09.2025 выполнение работ по сносу ветхого и непригодного для проживания дома, расположенного по адресу: город Когалым, улица Фестивальная, дом №13 на сумму 2 047,8  тыс.рублей
-срок выполнения работ 03.10.2025;
-работы выполнены и оплачены в полном объеме.
5. Заключен муниципальный контракт №93/2025 от 05.11.2025 на выполнение работ по сносу ветхого и непригодного для проживания дома, расположенного по адресу: город Когалым, улица Мостовая, дом №29 на сумму 513,87  тыс.рублей
-срок выполнения работ 12.12.2025;
-работы выполнены и оплачены в полном объеме.</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</si>
  <si>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По состоянию на 30.11.2025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</si>
  <si>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t xml:space="preserve">УпоЖП:
</t>
    </r>
    <r>
      <rPr>
        <sz val="12"/>
        <rFont val="Times New Roman"/>
        <family val="1"/>
        <charset val="204"/>
      </rPr>
      <t>04.06.2025, 20.10.2025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заключены дополнительные соглашения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2 участниками реализованы гарантийные письма, проводится работа по предоставлению субсидий. Отклонение факта от плана обусловлено длительным процессом предоставления субсидии, включающим принятие постановления Администрации города Когалыма, создание информационной справки к заявке на перечисление и ее согласование в Департаменте строительства и архитектуры ХМАО - Югры</t>
    </r>
  </si>
  <si>
    <r>
      <t xml:space="preserve">УпоЖП:
</t>
    </r>
    <r>
      <rPr>
        <sz val="12"/>
        <rFont val="Times New Roman"/>
        <family val="1"/>
        <charset val="204"/>
      </rPr>
      <t xml:space="preserve"> 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30.11.2025 состоят 2 инвалида (1 инвалид и 1 ветеран боевых действий исключены из списка по причине снятия с учета нуждающихся в жилых помещениях, предоставляемых по договорам социальногонайма из муниципального жилищного фонда города Когалыма).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</si>
  <si>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осуществлены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</si>
  <si>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 а также временной нетрудоспособности сотрудников.</t>
    </r>
  </si>
  <si>
    <r>
      <t xml:space="preserve">ОАиГ:
</t>
    </r>
    <r>
      <rPr>
        <sz val="12"/>
        <rFont val="Times New Roman"/>
        <family val="1"/>
        <charset val="204"/>
      </rPr>
      <t>Отклонение факта от плана связано с наличием вакантной должности</t>
    </r>
  </si>
  <si>
    <r>
      <t xml:space="preserve">ОАиГ
</t>
    </r>
    <r>
      <rPr>
        <sz val="12"/>
        <rFont val="Times New Roman"/>
        <family val="1"/>
        <charset val="204"/>
      </rPr>
      <t>Заключены муниципальные контракты на:
- Оказание услуг по подготовке изменений в проект планировки и межевания территории индивидуального жилищного строительства по улице Южная в городе Когалыме на сумму 267,75 тыс.руб.
- Оказание услуг по подготовке изменений в проект планировки и межевания территории индивидуального жилищного строительства за рекой Кирилл на сумму 378,75 тыс.руб.
- Оказание услуг по подготовке изменений в проект планировки и проект межевания территории участка 1-ого микрорайона в районе пересечения улиц Дружбы Народов и Молодежной в городе Когалыме на сумму 740,0 тыс.руб.
Услуги оказаны и оплачены в полном объеме.</t>
    </r>
  </si>
  <si>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Муниципальный контракт № 94/2025 от 06.11.2025 на выполнение работ по замене оконного блока в кабинете № 325 в здании Администрации города Когалыма, расположенного по адресу: улица Дружбы народов 7. Цена контракта: 38 400,12 руб.; срок выполнения работ: 09.12.2025. Работы выполнены и оплачены в полном объеме.
     12.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13.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14.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15.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16.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17.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18.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19.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выполнены, ведется приемка выполненных работ.
     20. Муниципальный контракт № 0187300013725000226 от 11.11.2025 на выполнение работ по ремонту жилого помещения, находящегося в муниципальной собственности, расположенном по адресу: город Когалым, улица Кирова, дом 13 А, квартира 46. Цена контракта: 428,12896 тыс.руб.; срок выполнения работ: 24.12.2025. Работы выполнены и оплачены в полном объеме.
     21.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22.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Подрядчик ООО "НЕМО". Работы выполнены и оплачены в полном объеме.
     23.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24.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25.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26.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
     27.  Муниципальный контаркт 0187300013725000206 от 03.10.2025 на выполнение работ по ремонту кабинетов в здании Администрации города Когалыма, расположенном по адресу: город Когалым, улица Дружбы народов, 7. Цена контракта 736,69225 тыс.руб. Подрядная организация - ИП САФАРЗОДА ПАРВИЗДЖОНИ ХАБИБУЛЛО. Рработы выполнены и оплачены в полном объеме.
</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</si>
  <si>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проезда к месту лечения и обратно на основании фактически предоставленных документов.</t>
  </si>
  <si>
    <t xml:space="preserve">Остаток плана на 01.12.2025г. составляет 7469,48 тыс.руб., в том числе:                                                                                                                                                                                                                                                                                                                          1) 1899,79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и т.д.;
2) 615,54 тыс.руб. - в связи с фактическими расходами на услуги связи;
3) 3131,30 тыс.руб. -  в связи с фактическими расходами на оплату коммунальных услуг согласно показаниям приборов учета;
4) 1361,80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461,05 тыс.руб. Экономия по торгам (приобретение неисключительных прав на ПО и оргтехники, оказание услуг по разработке проектно-сметной документации на систему видеонаблюдения, исследование проб сточных вод).     </t>
  </si>
  <si>
    <t xml:space="preserve">     Отклонение от плана составляет 8051,733  тыс.руб. в том числе:
     1. 54,719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95,398 тыс. руб.  -  услуги  связи - оплата по факту на основании счетов-фактур
     3. 576,162 тыс.руб.-  оплата за фактические объемы коммунальных услуг на основании показаний приборов учета.
     4. 665,537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5. 54,356 тыс.руб. - страхование - оплата за фактически застрахованные автомобили    
     6. 5284,059 руб.- неисполнение субсидии по статье увеличение стоимости горюче-смазочных материалов оплата произведена по факту согласно выставленных счетов     
     7. 342,518 тыс. руб. – увеличение стоимости материальных запасов - оплата факту поставки товаров и выставленным счетам;
     8. 97,538 тыс. руб. - налоги, пошлины и сборы -оплата будет произведена согласно деклараций</t>
  </si>
  <si>
    <t xml:space="preserve">     Отклонение от плана составляет 3199,703  тыс.руб. в том числе:
     1. 35677,01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11,765 тыс. руб.  -  услуги  связи - оплата по факту на основании счетов-фактур  
     3. 1399,232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4. 700,849 тыс.руб.- неисполнение субсидии по статье увеличение стоимости горюче-смазочных материалов оплата произведена по факту оказанных услуг согласно выставленных счетов      
     5. 41,293 тыс.руб. - увеличение стоимости мягкого инвертаря - оплата по факту согласно выставленных счетов
     6. 793,446 тыс. руб. – увеличение стоимости материальных запасов - оплата факту поставки товаров и выставленным счетам;
     7. 86,833 тыс. руб. - налоги, пошлины и сборы -оплата будет произведена согласно деклараций</t>
  </si>
  <si>
    <t>ЦОМУ по состоянию на 05.12.2025 12 час.58 мин. Информацию не предоставило</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</si>
  <si>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
    </r>
  </si>
  <si>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23 338,20 рублей, из них кассовые расходы на 01.01.2026 составили 23 338,20 рублей.</t>
  </si>
  <si>
    <t>По сотоянию на 01.01.2026 финансовая поддержка предоставлена 44 получателю (с учетом вида поддержки 55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25,24 тыс. рублей, МБ 3,96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</si>
  <si>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Остаток составил 600,00 тыс. рублей, в виду несоответствия заявителя условиям порядка предоставления грантовой поддержки</t>
  </si>
  <si>
    <t>Заключены договоры: №76 от 06.11.2025, 46939руб. с ИП Губенко Г.Н. на приобретение ткани; №74 от 06.11.2025, 12461руб. с ИП Веденькина А.А. на приобретение бумаги, батареек, №83 от 11.11.2025; №83 от 11.11.2025г., 60000
руб. с ООО Р.А."Любимый город" на сувениры (Тарелка сувенирная "Югра", пакет сувенирный). Заключены договоры: №ГКА25-4 от 20.11.2025г., 90 тыс. руб. С ИП Голуб К.А. на поставку сценических костюмов (Джинсы, бомбер) 10 шт.; №75 от 06.11.2025г., 6тыс. руб. с ИП Лактионов на поставку цветов, №84 от 20.11.2025, 14400 руб. с ООО Р.А. "Любимый город" на изготовление пленки с печатью, товар поступил, произведена оплата. Заключен договор №ГКА25-3 от 20.11.2025г. С ИП Голуб
К.А. на поставку сценических костюмов (пиджак, бриджи, рубашка) 10 шт., костюмы поступили, произведена оплата.</t>
  </si>
  <si>
    <t>Август - ноябрь: Заключён договор №66/2025 от 28.08.2025, оплата будет после поставки товара.                 
Декабрь: Исполнение плановых ассигнований в полном объёме.</t>
  </si>
  <si>
    <t xml:space="preserve">         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Субсидия предоставления Колеватых С.Н по по программе «Лето в Когалыме» (147 тыс.руб), Колеватых С.Н. по программе «Краски России» (147 тыс.руб).</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</si>
  <si>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Работы выполнены и оплачены в полном объеме.                                                      Заключен контракт №1/2025 от 31.07.2025 на выполнение работ по подготовке мастер-плана города Когалыма. Цена контракта 15 000,00 тыс.руб. Выплачен аванс в размере 10 500,00 тыс.руб. Остаток бюджетных ассигнований в размере 4 500,00 тыс.руб. будет оплачен в 2026 году (после завершения работ по разработке мастер-плана в апреле 2026 года)</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</si>
  <si>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 от 01.11.2025№91/2025 с ИП Козер С.А. на выполнение работ по обустройству пешеходной дорожки в городе Когалыме на сумму - 598,99 тыс. руб., исполнен; 
- от 01.11.2025 №92/2025 с АО "ЮТЭК-Когалым" на оказание услуг по демонтажу сезонных веток на светодиодных деревьях, цена контракта 88,64 тыс. руб., исполнен; 
 - от 19.11.2025№100/2025 с ООО "АГРО-ТЕХ-МОНТАЖ-СТРОЙ" на выполнение работ по обустройству пешеходной дорожки в городе Когалыме на сумму - 438,11 тыс. руб., исполнен;
  - от 24.11.2025№101/2025 с ИП КАБАЦКАЯ ИРИНА СЕРГЕЕВНА на выполнение работ по демонтажу опор сетей наружного освещения на территории площади по улице Мира в городе Когалыме, цена контракта 575,53 тыс. руб., работы выполнены и оплачены в полном объеме; 
- от 05.12.2025 №2025.1415421 с ИП Ивлютин И.А..на поставкуа флагов на сумму - 75,00 тыс. руб., исполнен; 
- от 08.12.2025 №25СКК332 с ООО "СПОРТИВНО-КУЛЬТУРНЫЙ КОМПЛЕКС"на поставку полиграфической продукции, цена контракта 32,55 тыс. руб., поставка выполнена и оплачена в полном объеме;
- от 15.12.2025 №114/2025 с ООО "ТЮМЕНСКАЯ ЗЕМЛЕУСТРОИТЕЛЬНАЯ КОМПАНИЯ"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136,80 тыс. руб., услуги оказаны и оплачены;
  - от 15.12.2025№115/2025 с ИП ХАНИЕВА Н.А.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80,00 тыс. руб.,услуги оказаны и оплачены;
  - от 15.12.2025 №25СКК340 ООО "СПОРТИВНО-КУЛЬТУРНЫЙ КОМПЛЕКС"на поставку полиграфической продукции, цена контракта 24,97 тыс. руб., поставка выполнена и оплачена в полном объеме;
</t>
  </si>
  <si>
    <t xml:space="preserve">         Порядок предоставления гранта в форме субсидий физическим лицам - победителям конкурса молодежных инициатив города Когалыма на реализацию проекта» утвержден в соответствии с Постановлением Администрации города Когалыма от 31.05.2021 №1146. Прием заявок осуществлялся с 05.09.2025 до 08.10.2025.          
 Определены победители конкурса, которым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</si>
  <si>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Денежные средства в размере 938,10 тыс. руб возвращены в бюджет города в декабре 2025 года.</t>
  </si>
  <si>
    <t xml:space="preserve">Март: Проведены мероприятие в рамках проекта "Живое слово". Остаток ассигнований - в сумме 38,8 тыс.руб. Возвращены в бюджет города. </t>
  </si>
  <si>
    <t xml:space="preserve">Экономия средств в сумме 1239,06тыс.руб.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</si>
  <si>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1. По состоянию на 01.01.2026 оказание дополнительной помощи не понадобилось в связи отсутствием неотложной необходимости в проведении капитального ремонта общего имущества в многоквартирном доме"</t>
  </si>
  <si>
    <t>На отчетную дату ведется исполнение следующих контрактов:
1. Проектно-изыскательские работы:
1.1. Контракт № 1229-23 от 29.12.2023 (функции заказчика переданы 02.02.2024г.) на выполнение проектно изыскательских работ для строительства объекта: "Котельная по улице Сибирская и магистральные сети теплоснабжения в городе Когалыме"
-срок выполнения работ 30.12.2024 г.;
-цена контракта 21 791,34 тыс.руб.
-работы выполнены и оплачены в полном объеме.
2. Строительно-монтажные работы:
2.1. Муниципальный контракт № 0187200001725000495 от 11.06.2025 на выполнение работ по строительству объекта "Котельная по улице Сибирская и магистральные инженерные сети теплоснабжения в городе Когалыме":
- цена контракта - 942 479,21472 рублей;
- сроки выполнения работ - 30.07.2026
- подрядная организация - ООО "АТОМСТРОЙПРОЕКТ" (г. Москва).
3. Прочие работы:
3.1. Договор №ТП/ЮЛ/2024-5 от 05.08.2024 г. на выполнение работ по осуществлению технологического присоединения к сети газораспределения объекта "Котельная по улице Сибирской и магистральные тепловые сети в городе Когалыме".
- срок выполнения работ 23.08.2026;
- цена договора 22,79 тыс.руб.;
- ведется выполнение работ.
3.2. Договор №70/2025 от 11.09..2025 г. на оказание услуг по авторскому надзору за строительством объекта "Котельная по улице Сибирская и магистральные инженерные сети теплоснабжения в городе Когалыме".
- срок выполнения работ 30.07.2026;
- цена договора 599,00 тыс.руб.;
- ведется выполнение работ.</t>
  </si>
  <si>
    <t>1. Муниципальный контракт №25/2025 от 29.05.2025
- цена контракта - 125,00 тыс. руб.:
- срок окончания выполнения работ 01.09.2025;
- исполнитель - ООО "ЭФФЕКТИВНЫЕ ИНФРАСТРУКТУРНЫЕ ПРОЕКТЫ"
- контракт исполнен и оплачен в полном объеме</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</si>
  <si>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«Урок вежливости» для мигрантов прошел 17.12.2025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Декабрь : проведено 1 индивидуальное занятия по РКИ (русский как иностран-ный) и одно групповое занятие для взрослых. За отчетный период про-ведено 9 групповых и 22 индивидуальных занятия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</si>
  <si>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Благодарности, ручки, флаги, грамоты-СОШ №10-5,0;приобретение национальных кукол (набор), благодарностей- СОШ № 6; СОШ №5-приобретение бепроводной колонки. СОШ №7-полиграфическая печатная продукция. СОШ№8-приобретение грамот, благодарностей, канцелярских товаров. СОШ №1-Флипчарт, пленка для ламинирования, планшет канцелярский. СОШ №3-приобретение грамот, планшеты с зажимом.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</si>
</sst>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21">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0" fontId="3" fillId="0" borderId="9" xfId="1" applyFont="1" applyFill="1" applyBorder="1" applyAlignment="1" applyProtection="1">
      <alignment horizontal="left" vertical="center" wrapText="1"/>
    </xf>
    <xf numFmtId="0" fontId="24" fillId="0" borderId="0" xfId="1" applyFont="1" applyFill="1" applyProtection="1"/>
    <xf numFmtId="164" fontId="2" fillId="0" borderId="1" xfId="1" applyNumberFormat="1" applyFont="1" applyFill="1" applyBorder="1" applyAlignment="1" applyProtection="1">
      <alignment horizontal="right" vertical="center" wrapText="1"/>
    </xf>
    <xf numFmtId="4" fontId="3" fillId="0" borderId="9" xfId="0" applyNumberFormat="1" applyFont="1" applyFill="1" applyBorder="1" applyAlignment="1">
      <alignment horizontal="center" vertical="center" wrapText="1"/>
    </xf>
    <xf numFmtId="166" fontId="35" fillId="4" borderId="9" xfId="1" applyNumberFormat="1" applyFont="1" applyFill="1" applyBorder="1" applyAlignment="1" applyProtection="1">
      <alignmen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3" fillId="0" borderId="9" xfId="1" applyFont="1" applyBorder="1" applyAlignment="1" applyProtection="1">
      <alignment horizontal="right"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8" fillId="0" borderId="9" xfId="1" applyFont="1" applyFill="1" applyBorder="1" applyAlignment="1" applyProtection="1">
      <alignment horizontal="righ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5" xfId="1" applyFont="1" applyFill="1" applyBorder="1" applyAlignment="1" applyProtection="1">
      <alignment horizontal="center" vertical="center"/>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5" xfId="1" applyFont="1" applyBorder="1" applyAlignment="1" applyProtection="1">
      <alignment horizontal="center" vertical="center"/>
    </xf>
    <xf numFmtId="0" fontId="21" fillId="0" borderId="8"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2" fillId="0" borderId="8" xfId="0" applyFont="1" applyBorder="1" applyAlignment="1">
      <alignment horizontal="center" vertical="center"/>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12" fillId="0" borderId="8" xfId="0" applyFont="1" applyFill="1" applyBorder="1" applyAlignment="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16" fontId="13" fillId="2" borderId="8" xfId="1" applyNumberFormat="1" applyFont="1" applyFill="1" applyBorder="1" applyAlignment="1" applyProtection="1">
      <alignment horizontal="center" vertical="center"/>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28" fillId="0" borderId="9" xfId="1" applyFont="1" applyBorder="1" applyAlignment="1" applyProtection="1">
      <alignment horizontal="left" vertical="center" wrapText="1"/>
    </xf>
    <xf numFmtId="0" fontId="13" fillId="0" borderId="2" xfId="1" applyFont="1" applyFill="1" applyBorder="1" applyAlignment="1" applyProtection="1">
      <alignment horizontal="center"/>
    </xf>
    <xf numFmtId="0" fontId="13" fillId="0" borderId="8" xfId="1" applyFont="1" applyFill="1" applyBorder="1" applyAlignment="1" applyProtection="1">
      <alignment horizontal="center"/>
    </xf>
    <xf numFmtId="0" fontId="3" fillId="0" borderId="2"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2"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Fill="1" applyBorder="1" applyAlignment="1" applyProtection="1">
      <alignment horizontal="center" wrapText="1"/>
    </xf>
    <xf numFmtId="0" fontId="13" fillId="0" borderId="5" xfId="1" applyFont="1" applyFill="1" applyBorder="1" applyAlignment="1" applyProtection="1">
      <alignment horizontal="center" wrapText="1"/>
    </xf>
    <xf numFmtId="0" fontId="13" fillId="0" borderId="8" xfId="1" applyFont="1" applyFill="1" applyBorder="1" applyAlignment="1" applyProtection="1">
      <alignment horizontal="center" wrapText="1"/>
    </xf>
    <xf numFmtId="0" fontId="3" fillId="0" borderId="5" xfId="1" applyFont="1" applyFill="1" applyBorder="1" applyAlignment="1" applyProtection="1">
      <alignment horizontal="center" vertic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xf numFmtId="0" fontId="3" fillId="0" borderId="5"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0" fontId="22" fillId="0" borderId="2" xfId="1" applyFont="1" applyFill="1" applyBorder="1" applyAlignment="1" applyProtection="1">
      <alignment horizontal="center" vertical="center"/>
    </xf>
    <xf numFmtId="0" fontId="22" fillId="0" borderId="5" xfId="1" applyFont="1" applyFill="1" applyBorder="1" applyAlignment="1" applyProtection="1">
      <alignment horizontal="center" vertical="center"/>
    </xf>
    <xf numFmtId="0" fontId="22" fillId="0" borderId="8" xfId="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center" vertical="center"/>
    </xf>
    <xf numFmtId="0" fontId="3" fillId="0" borderId="5" xfId="1" applyFont="1" applyFill="1" applyBorder="1" applyAlignment="1" applyProtection="1">
      <alignment horizontal="center" vertical="center"/>
    </xf>
    <xf numFmtId="0" fontId="3" fillId="0" borderId="8" xfId="1" applyFont="1" applyFill="1" applyBorder="1" applyAlignment="1" applyProtection="1">
      <alignment horizontal="center" vertical="center"/>
    </xf>
    <xf numFmtId="0" fontId="14" fillId="0" borderId="9" xfId="1" applyFont="1" applyFill="1" applyBorder="1" applyAlignment="1" applyProtection="1">
      <alignment horizontal="center" vertical="center"/>
    </xf>
    <xf numFmtId="164" fontId="13" fillId="0" borderId="8" xfId="1" applyNumberFormat="1" applyFont="1" applyFill="1" applyBorder="1" applyAlignment="1" applyProtection="1">
      <alignment horizontal="center" vertical="center" wrapText="1"/>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usernames" Target="revisions/userNam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revisionHeaders" Target="revisions/revisionHeader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3" Type="http://schemas.openxmlformats.org/officeDocument/2006/relationships/revisionLog" Target="revisionLog3.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47" Type="http://schemas.openxmlformats.org/officeDocument/2006/relationships/revisionLog" Target="revisionLog47.xml"/><Relationship Id="rId50" Type="http://schemas.openxmlformats.org/officeDocument/2006/relationships/revisionLog" Target="revisionLog50.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41" Type="http://schemas.openxmlformats.org/officeDocument/2006/relationships/revisionLog" Target="revisionLog41.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45" Type="http://schemas.openxmlformats.org/officeDocument/2006/relationships/revisionLog" Target="revisionLog45.xml"/><Relationship Id="rId53" Type="http://schemas.openxmlformats.org/officeDocument/2006/relationships/revisionLog" Target="revisionLog53.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4" Type="http://schemas.openxmlformats.org/officeDocument/2006/relationships/revisionLog" Target="revisionLog44.xml"/><Relationship Id="rId52" Type="http://schemas.openxmlformats.org/officeDocument/2006/relationships/revisionLog" Target="revisionLog52.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8" Type="http://schemas.openxmlformats.org/officeDocument/2006/relationships/revisionLog" Target="revisionLog8.xml"/><Relationship Id="rId51" Type="http://schemas.openxmlformats.org/officeDocument/2006/relationships/revisionLog" Target="revisionLog5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8A79E36-9C65-4D19-99BA-0518C837021D}" diskRevisions="1" revisionId="511" version="2">
  <header guid="{8A3CC5C5-ACDB-4A8E-87DF-2A186751040A}" dateTime="2025-12-24T16:47:42" maxSheetId="22" userName="Цёвка Елена Александровна" r:id="rId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DEFF86-DD50-4DF2-AA6F-72DC1A57131C}" dateTime="2026-01-14T15:19:34" maxSheetId="22" userName="Тихонова Лариса Анатольевна" r:id="rId2" minRId="1" maxRId="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98B1818-518D-46DF-A687-046537D410CF}" dateTime="2026-01-14T16:38:24" maxSheetId="22" userName="Тихонова Лариса Анатольевна" r:id="rId3" minRId="47" maxRId="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78767E-0920-4750-848D-39AAAD9F8C2C}" dateTime="2026-01-15T10:45:42" maxSheetId="22" userName="Мартынова Снежана Владимировна" r:id="rId4" minRId="66" maxRId="6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9D9CBE0-FD22-4DBC-A250-7F0331B0B7CF}" dateTime="2026-01-15T14:16:49" maxSheetId="22" userName="Тихонова Лариса Анатольевна" r:id="rId5" minRId="77" maxRId="1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7266454-86C9-4C91-B3E7-C2DA9FAA5D0E}" dateTime="2026-01-15T17:06:55" maxSheetId="22" userName="Епифанова Елена Валерьевна" r:id="rId6" minRId="116" maxRId="13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A3BE27-F9CB-47A6-9461-90B102433EFE}" dateTime="2026-01-15T17:58:09" maxSheetId="22" userName="Подворчан Оксана" r:id="rId7" minRId="145" max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384BD45-19D8-47B9-9640-EF4A26C4CEDD}" dateTime="2026-01-15T18:01:21" maxSheetId="22" userName="Подворчан Оксана" r:id="rId8" minRId="169" maxRId="1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A76DE6-8C26-4424-85AD-AC0727B3F236}" dateTime="2026-01-15T18:04:26" maxSheetId="22" userName="Подворчан Оксана" r:id="rId9" minRId="172" maxRId="17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A25977E-4D8A-4704-A770-67C8C7679443}" dateTime="2026-01-15T18:07:24" maxSheetId="22" userName="Подворчан Оксана" r:id="rId10" minRId="175" maxRId="17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4A441D4-D407-4EA5-ABEE-2BCFF7128EDA}" dateTime="2026-01-15T18:12:37" maxSheetId="22" userName="Подворчан Оксана" r:id="rId11" minRId="179" maxRId="1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2F3F170-759D-4705-954B-7BDAA812EEF8}" dateTime="2026-01-15T18:15:16" maxSheetId="22" userName="Подворчан Оксана" r:id="rId12" minRId="185" maxRId="18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97C18AC-2E7F-4991-8122-4D571D4D787F}" dateTime="2026-01-15T18:24:09" maxSheetId="22" userName="Подворчан Оксана" r:id="rId13" minRId="188" maxRId="1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C04BA81-09DE-4A95-9891-3B112D0DEDFE}" dateTime="2026-01-15T18:28:18" maxSheetId="22" userName="Подворчан Оксана" r:id="rId14" minRId="191" max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BC4E5DE-D066-45A0-AB4C-BBFF73167AD8}" dateTime="2026-01-15T18:30:43" maxSheetId="22" userName="Подворчан Оксана" r:id="rId15" minRId="194" maxRId="1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5CA05EA-F5CA-4A55-9ED2-64DF90566297}" dateTime="2026-01-15T18:32:42" maxSheetId="22" userName="Подворчан Оксана" r:id="rId16" minRId="197" maxRId="1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4DE74EB-E7B0-47B9-AC71-50532DB92254}" dateTime="2026-01-15T18:39:39" maxSheetId="22" userName="Подворчан Оксана" r:id="rId17" minRId="199" max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CE4B2B9-AAB6-46DD-B1D7-1412496BF78C}" dateTime="2026-01-16T11:07:23" maxSheetId="22" userName="Осинцева Татьяна Николаевна" r:id="rId18" minRId="204" maxRId="25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5B934A0-629E-4A6B-8628-BE8BF5BC4224}" dateTime="2026-01-16T12:25:42" maxSheetId="22" userName="Осинцева Татьяна Николаевна" r:id="rId19" minRId="2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EBA0931-34E4-4AA4-A6F0-17670C41137B}" dateTime="2026-01-16T14:37:38" maxSheetId="22" userName="Зарбалиева Оксана Валерьевна" r:id="rId20" minRId="268" maxRId="2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F4830F1-542E-4C97-8B18-86AA4C5C1693}" dateTime="2026-01-16T16:04:46" maxSheetId="22" userName="Колесник Елена Николаевна" r:id="rId21" minRId="284" maxRId="2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283B3ED-784D-4D4D-969B-942BA40D965B}" dateTime="2026-01-16T16:45:15" maxSheetId="22" userName="Колесник Елена Николаевна" r:id="rId22" minRId="289" maxRId="3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C29687-2657-4DE2-8232-AA5F02099A7C}" dateTime="2026-01-16T17:04:21" maxSheetId="22" userName="Колесник Елена Николаевна" r:id="rId23" minRId="315" maxRId="3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237D04C-2467-4F9C-8677-C03B7C997833}" dateTime="2026-01-18T11:31:41" maxSheetId="22" userName="Спиридонова Юлия Леонидовна" r:id="rId24" minRId="327" maxRId="34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E68C67F-7702-4736-A79A-F7298B670043}" dateTime="2026-01-19T14:42:59" maxSheetId="22" userName="Лукманова Эльвира Наильевна" r:id="rId25" minRId="352" maxRId="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B3EAE7C-80A6-41A8-A79E-2E6426811EFA}" dateTime="2026-01-19T14:53:56" maxSheetId="22" userName="Лукманова Эльвира Наильевна" r:id="rId26" minRId="361" maxRId="3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BAA1FB-3751-4D17-BA74-8470012DFC38}" dateTime="2026-01-19T14:55:13" maxSheetId="22" userName="Подворчан Оксана" r:id="rId27" minRId="373" maxRId="38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5AE7557-3BC8-4F61-8DB2-E4F093CBCE35}" dateTime="2026-01-19T14:56:26" maxSheetId="22" userName="Осинцева Татьяна Николаевна" r:id="rId28" minRId="383" maxRId="3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ED6F0B5-BCE1-4AEC-954D-D11DCCE5EEC8}" dateTime="2026-01-19T15:29:20" maxSheetId="22" userName="Подворчан Оксана" r:id="rId29" minRId="393" maxRId="3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FEF2248-DB35-44BC-88D7-A18562B86B66}" dateTime="2026-01-19T15:34:35" maxSheetId="22" userName="Подворчан Оксана" r:id="rId30" minRId="3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5434463-4580-4A91-989D-6C47F44A0D7B}" dateTime="2026-01-19T15:35:58" maxSheetId="22" userName="Лукманова Эльвира Наильевна" r:id="rId31" minRId="405" maxRId="4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339499-0E75-407F-8746-BE3426E506BD}" dateTime="2026-01-19T15:39:31" maxSheetId="22" userName="Подворчан Оксана" r:id="rId32" minRId="41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264B949-7464-461A-81ED-C68C9BE80271}" dateTime="2026-01-19T15:40:51" maxSheetId="22" userName="Подворчан Оксана" r:id="rId33" minRId="413" maxRId="4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F4E948E-E8A6-4235-A2C9-D24794CD9ED7}" dateTime="2026-01-19T16:39:19" maxSheetId="22" userName="Подворчан Оксана" r:id="rId34" minRId="415" maxRId="41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10F7AE5-8982-4EF0-A322-60D0789132C0}" dateTime="2026-01-19T16:46:59" maxSheetId="22" userName="Подворчан Оксана" r:id="rId35" minRId="4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0565B2-F434-426B-AA91-8A8AFD17B935}" dateTime="2026-01-19T16:58:26" maxSheetId="22" userName="Подворчан Оксана" r:id="rId36" minRId="4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595A3B2-17EB-4948-9F2F-15869D09122E}" dateTime="2026-01-19T17:22:43" maxSheetId="22" userName="Подворчан Оксана" r:id="rId37" minRId="420" maxRId="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6E43E3-A330-4133-ACA8-05D07518A2BA}" dateTime="2026-01-19T17:30:11" maxSheetId="22" userName="Васильева Мария Сергеевна" r:id="rId38" minRId="431" maxRId="44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A9A4C0F-9EDF-4BF6-B7CF-322FBA390659}" dateTime="2026-01-19T17:30:41" maxSheetId="22" userName="Подворчан Оксана" r:id="rId39" minRId="455" maxRId="45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D76EFB6-C772-4A6A-8223-BCC655A04500}" dateTime="2026-01-19T17:35:53" maxSheetId="22" userName="Васильева Мария Сергеевна" r:id="rId40" minRId="460" maxRId="47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002AD37-76DA-4ABE-AE63-2F718736B2C9}" dateTime="2026-01-19T17:38:04" maxSheetId="22" userName="Васильева Мария Сергеевна" r:id="rId41" minRId="472" maxRId="47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E08829C-1B7B-445A-942E-86C08C629C6A}" dateTime="2026-01-19T17:39:16" maxSheetId="22" userName="Васильева Мария Сергеевна" r:id="rId42" minRId="479" maxRId="48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2BD58A8-026B-43B9-8829-5CEE92341500}" dateTime="2026-01-19T17:42:42" maxSheetId="22" userName="Подворчан Оксана" r:id="rId43" minRId="481" maxRId="48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0C1ACC-E454-4893-9BA6-12ED4241BA89}" dateTime="2026-01-19T17:46:51" maxSheetId="22" userName="Подворчан Оксана" r:id="rId44" minRId="4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06874BF-5B26-4886-91B5-8C5047E9EEED}" dateTime="2026-01-19T17:48:25" maxSheetId="22" userName="Подворчан Оксана" r:id="rId45" minRId="48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2872BE-2E01-4179-BA83-4EB7E608923D}" dateTime="2026-01-19T17:48:45" maxSheetId="22" userName="Васильева Мария Сергеевна" r:id="rId46" minRId="487" maxRId="49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22DA619-1C9F-42FB-87B5-AB98CA694D55}" dateTime="2026-01-19T17:52:12" maxSheetId="22" userName="Васильева Мария Сергеевна" r:id="rId47" minRId="495" maxRId="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19574BB-E0E0-47CE-9D6D-FF14875C4446}" dateTime="2026-01-19T17:52:46" maxSheetId="22" userName="Подворчан Оксана" r:id="rId48" minRId="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1D0B148-A644-4051-AAD4-50E071DDECCD}" dateTime="2026-01-19T17:54:19" maxSheetId="22" userName="Подворчан Оксана" r:id="rId49" minRId="4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265AC8B-B637-4CF9-AB6D-E5CFA897CD20}" dateTime="2026-01-19T17:58:48" maxSheetId="22" userName="Подворчан Оксана" r:id="rId50" minRId="4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72A99B-D146-4431-80C1-110CF4AFD5D5}" dateTime="2026-01-19T18:12:32" maxSheetId="22" userName="Подворчан Оксана" r:id="rId51" minRId="50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E863B-FF5D-44B4-A8CC-019A8EA0EDFA}" dateTime="2026-01-20T10:03:45" maxSheetId="22" userName="Лукманова Эльвира Наильевна" r:id="rId52" minRId="50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8A79E36-9C65-4D19-99BA-0518C837021D}" dateTime="2026-01-20T11:09:34" maxSheetId="22" userName="Лукманова Эльвира Наильевна" r:id="rId53" minRId="510" maxRId="5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6" numFmtId="4">
    <oc r="AG45">
      <v>0</v>
    </oc>
    <nc r="AG45">
      <v>-1096.3309999999999</v>
    </nc>
  </rcc>
  <rcc rId="176" sId="16">
    <oc r="G45">
      <f>K45+M45+O45+Q45+S45+U45+W45+Y45+AA45+AC45+AE45</f>
    </oc>
    <nc r="G45">
      <f>K45+M45+O45+Q45+S45+U45+W45+Y45+AA45+AC45+AE45+AG45</f>
    </nc>
  </rcc>
  <rcc rId="177" sId="16">
    <oc r="E45">
      <f>J45+L45+N45+P45+R45+T45+V45+X45+Z45+AB45+AD45</f>
    </oc>
    <nc r="E45">
      <f>J45+L45+N45+P45+R45+T45+V45+X45+Z45+AB45+AD45+AF45</f>
    </nc>
  </rcc>
  <rcc rId="178" sId="16">
    <oc r="F45">
      <f>J45+L45+N45+P45+R45+T45+V45+X45+Z45+AB45+AD45</f>
    </oc>
    <nc r="F45">
      <f>G45</f>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9" sId="16" numFmtId="4">
    <oc r="AE52">
      <v>0</v>
    </oc>
    <nc r="AE52">
      <v>294</v>
    </nc>
  </rcc>
  <rcc rId="180" sId="16" numFmtId="4">
    <oc r="AG57">
      <v>0</v>
    </oc>
    <nc r="AG57">
      <v>1050.5820000000001</v>
    </nc>
  </rcc>
  <rcc rId="181" sId="16">
    <oc r="F57">
      <f>K57+M57+O57+Q57+S57+U57+W57+Y57+AA57+AC57+AE57</f>
    </oc>
    <nc r="F57">
      <f>K57+M57+O57+Q57+S57+U57+W57+Y57+AA57+AC57+AE57+AG57</f>
    </nc>
  </rcc>
  <rcc rId="182" sId="16">
    <oc r="E57">
      <f>J57+L57+N57+P57+R57+T57+V57+X57+Z57+AB57+AD57</f>
    </oc>
    <nc r="E57">
      <f>J57+L57+N57+P57+R57+T57+V57+X57+Z57+AB57+AD57+AF57</f>
    </nc>
  </rcc>
  <rfmt sheetId="16" sqref="D56:E58">
    <dxf>
      <fill>
        <patternFill patternType="solid">
          <bgColor rgb="FFFFFF00"/>
        </patternFill>
      </fill>
    </dxf>
  </rfmt>
  <rcc rId="183" sId="16" numFmtId="4">
    <oc r="AG59">
      <v>0</v>
    </oc>
    <nc r="AG59">
      <v>700.96500000000003</v>
    </nc>
  </rcc>
  <rcc rId="184" sId="16">
    <oc r="F59">
      <f>K59+M59+O59+Q59+S59+U59+W59+Y59+AA59+AC59+AE59</f>
    </oc>
    <nc r="F59">
      <f>K59+M59+O59+Q59+S59+U59+W59+Y59+AA59+AC59+AE59+AG59</f>
    </nc>
  </rcc>
  <rfmt sheetId="16" sqref="D59:E59">
    <dxf>
      <fill>
        <patternFill patternType="solid">
          <bgColor rgb="FFFFFF00"/>
        </patternFill>
      </fill>
    </dxf>
  </rfmt>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5" sId="16" numFmtId="4">
    <oc r="AG61">
      <v>0</v>
    </oc>
    <nc r="AG61">
      <v>3257.1869999999999</v>
    </nc>
  </rcc>
  <rcc rId="186" sId="16">
    <oc r="F61">
      <f>K61+M61+O61+Q61+S61+U61+W61+Y61+AA61+AC61+AE61</f>
    </oc>
    <nc r="F61">
      <f>K61+M61+O61+Q61+S61+U61+W61+Y61+AA61+AC61+AE61+AG61</f>
    </nc>
  </rcc>
  <rcc rId="187" sId="16">
    <oc r="E61">
      <f>J61+L61+N61+P61+R61+T61+V61+X61+Z61+AB61+AD61</f>
    </oc>
    <nc r="E61">
      <f>J61+L61+N61+P61+R61+T61+V61+X61+Z61+AB61+AD61+AF61</f>
    </nc>
  </rcc>
  <rfmt sheetId="16" sqref="D61:E61">
    <dxf>
      <fill>
        <patternFill patternType="solid">
          <bgColor rgb="FFFFFF00"/>
        </patternFill>
      </fill>
    </dxf>
  </rfmt>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8" sId="16" numFmtId="4">
    <oc r="AD57">
      <v>363.41399999999999</v>
    </oc>
    <nc r="AD57">
      <v>649.07399999999996</v>
    </nc>
  </rcc>
  <rcc rId="189" sId="16" numFmtId="4">
    <oc r="AF57">
      <v>393.13099999999997</v>
    </oc>
    <nc r="AF57">
      <v>534.46100000000001</v>
    </nc>
  </rcc>
  <rcc rId="190" sId="16" numFmtId="4">
    <oc r="Z57">
      <v>313.41399999999999</v>
    </oc>
    <nc r="Z57">
      <v>314.81400000000002</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D56:E57">
    <dxf>
      <fill>
        <patternFill patternType="none">
          <bgColor auto="1"/>
        </patternFill>
      </fill>
    </dxf>
  </rfmt>
  <rcc rId="191" sId="16">
    <oc r="E59">
      <f>J59+L59+N59+P59+R59+T59+V59+X59+Z59+AB59+AD59</f>
    </oc>
    <nc r="E59">
      <f>J59+L59+N59+P59+R59+T59+V59+X59+Z59+AB59+AD59+AF59</f>
    </nc>
  </rcc>
  <rcc rId="192" sId="16" numFmtId="4">
    <oc r="AD59">
      <v>245.05500000000001</v>
    </oc>
    <nc r="AD59">
      <v>316.71499999999997</v>
    </nc>
  </rcc>
  <rcc rId="193" sId="16" numFmtId="4">
    <oc r="AF59">
      <v>254.125</v>
    </oc>
    <nc r="AF59">
      <v>385.42500000000001</v>
    </nc>
  </rcc>
  <rfmt sheetId="16" sqref="D58:E59">
    <dxf>
      <fill>
        <patternFill patternType="none">
          <bgColor auto="1"/>
        </patternFill>
      </fill>
    </dxf>
  </rfmt>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6" numFmtId="4">
    <oc r="AD61">
      <v>1260.038</v>
    </oc>
    <nc r="AD61">
      <v>1545.624</v>
    </nc>
  </rcc>
  <rcc rId="195" sId="16" numFmtId="4">
    <oc r="AF61">
      <v>1264.4939999999999</v>
    </oc>
    <nc r="AF61">
      <v>1951.894</v>
    </nc>
  </rcc>
  <rcc rId="196" sId="16" numFmtId="4">
    <oc r="Z61">
      <v>1050.4380000000001</v>
    </oc>
    <nc r="Z61">
      <v>1065.538</v>
    </nc>
  </rcc>
  <rfmt sheetId="16" sqref="D61:E61">
    <dxf>
      <fill>
        <patternFill patternType="none">
          <bgColor auto="1"/>
        </patternFill>
      </fill>
    </dxf>
  </rfmt>
  <rfmt sheetId="16" sqref="D61:E61">
    <dxf>
      <fill>
        <patternFill>
          <bgColor auto="1"/>
        </patternFill>
      </fill>
    </dxf>
  </rfmt>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7" sId="16" numFmtId="4">
    <oc r="X22">
      <v>1617</v>
    </oc>
    <nc r="X22">
      <v>1501.5</v>
    </nc>
  </rcc>
  <rcc rId="198" sId="16" numFmtId="4">
    <oc r="AF22">
      <v>100</v>
    </oc>
    <nc r="AF22">
      <v>0</v>
    </nc>
  </rcc>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9" sId="16" numFmtId="4">
    <oc r="AF45">
      <v>10711.73</v>
    </oc>
    <nc r="AF45">
      <v>2646.7840000000001</v>
    </nc>
  </rcc>
  <rcc rId="200" sId="16" numFmtId="4">
    <oc r="AB45">
      <v>3970.3620000000001</v>
    </oc>
    <nc r="AB45">
      <v>3960.3620000000001</v>
    </nc>
  </rcc>
  <rcc rId="201" sId="16" numFmtId="4">
    <oc r="Z45">
      <v>5671.4</v>
    </oc>
    <nc r="Z45">
      <v>5661.4</v>
    </nc>
  </rcc>
  <rcc rId="202" sId="16" numFmtId="4">
    <oc r="AD45">
      <v>3402.46</v>
    </oc>
    <nc r="AD45">
      <v>3402.2020000000002</v>
    </nc>
  </rcc>
  <rfmt sheetId="16" sqref="D45" start="0" length="2147483647">
    <dxf>
      <font>
        <color rgb="FFFF0000"/>
      </font>
    </dxf>
  </rfmt>
  <rfmt sheetId="16" sqref="D45">
    <dxf>
      <fill>
        <patternFill patternType="solid">
          <bgColor rgb="FFFFFF00"/>
        </patternFill>
      </fill>
    </dxf>
  </rfmt>
  <rcc rId="203" sId="16" numFmtId="4">
    <oc r="AD57">
      <v>649.07399999999996</v>
    </oc>
    <nc r="AD57">
      <v>590.48400000000004</v>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4" sId="2" numFmtId="19">
    <oc r="E6">
      <v>45992</v>
    </oc>
    <nc r="E6">
      <v>46023</v>
    </nc>
  </rcc>
  <rcc rId="205" sId="2" numFmtId="19">
    <oc r="F6">
      <v>45992</v>
    </oc>
    <nc r="F6">
      <v>46023</v>
    </nc>
  </rcc>
  <rcc rId="206" sId="2" numFmtId="19">
    <oc r="G6">
      <v>45992</v>
    </oc>
    <nc r="G6">
      <v>46023</v>
    </nc>
  </rcc>
  <rcc rId="207" sId="2" numFmtId="4">
    <nc r="N18">
      <v>0</v>
    </nc>
  </rcc>
  <rcc rId="208" sId="2" numFmtId="4">
    <nc r="O18">
      <v>0</v>
    </nc>
  </rcc>
  <rcc rId="209" sId="2" numFmtId="34">
    <nc r="K18">
      <v>0</v>
    </nc>
  </rcc>
  <rfmt sheetId="2" sqref="K18">
    <dxf>
      <numFmt numFmtId="4" formatCode="#,##0.00"/>
    </dxf>
  </rfmt>
  <rfmt sheetId="2" sqref="K18">
    <dxf>
      <alignment horizontal="center" readingOrder="0"/>
    </dxf>
  </rfmt>
  <rcc rId="210" sId="2" numFmtId="4">
    <nc r="Q18">
      <v>0</v>
    </nc>
  </rcc>
  <rcc rId="211" sId="2" numFmtId="4">
    <oc r="S18">
      <v>1331.51</v>
    </oc>
    <nc r="S18">
      <v>1331.52</v>
    </nc>
  </rcc>
  <rcc rId="212" sId="2" numFmtId="4">
    <oc r="W18">
      <v>2.97</v>
    </oc>
    <nc r="W18">
      <v>1021.87</v>
    </nc>
  </rcc>
  <rcc rId="213" sId="2" numFmtId="4">
    <oc r="W19">
      <v>2702.25</v>
    </oc>
    <nc r="W19">
      <v>1683.35</v>
    </nc>
  </rcc>
  <rcc rId="214" sId="2" numFmtId="4">
    <oc r="AB18">
      <v>118.09</v>
    </oc>
    <nc r="AB18">
      <v>3.48</v>
    </nc>
  </rcc>
  <rcc rId="215" sId="2" numFmtId="4">
    <oc r="AF18">
      <f>5939/1000</f>
    </oc>
    <nc r="AF18">
      <v>2.5499999999999998</v>
    </nc>
  </rcc>
  <rcc rId="216" sId="2" numFmtId="4">
    <nc r="AF19">
      <v>0</v>
    </nc>
  </rcc>
  <rcc rId="217" sId="2" numFmtId="4">
    <nc r="AG18">
      <v>6.44</v>
    </nc>
  </rcc>
  <rcc rId="218" sId="2" numFmtId="4">
    <nc r="AG19">
      <v>1800.4</v>
    </nc>
  </rcc>
  <rcc rId="219" sId="2">
    <oc r="E17">
      <f>E18+E19</f>
    </oc>
    <nc r="E17">
      <f>E18+E19</f>
    </nc>
  </rcc>
  <rcc rId="220" sId="2">
    <oc r="E18">
      <f>J18+L18+N18+P18+R18+T18+V18+X18+Z18+AB18</f>
    </oc>
    <nc r="E18">
      <f>J18+L18+N18+P18+R18+T18+V18+X18+Z18+AB18+AD18+AF18</f>
    </nc>
  </rcc>
  <rcc rId="221" sId="2">
    <oc r="E19">
      <f>J19+L19+N19+P19+R19+T19+V19+X19+Z19+AB19+AD19</f>
    </oc>
    <nc r="E19">
      <f>J19+L19+N19+P19+R19+T19+V19+X19+Z19+AB19+AD19+AF19</f>
    </nc>
  </rcc>
  <rcc rId="222" sId="2" numFmtId="4">
    <oc r="J15">
      <v>405.21</v>
    </oc>
    <nc r="J15">
      <v>359.4</v>
    </nc>
  </rcc>
  <rcc rId="223" sId="2" numFmtId="4">
    <oc r="K15">
      <v>95.28</v>
    </oc>
    <nc r="K15">
      <v>49.48</v>
    </nc>
  </rcc>
  <rcc rId="224" sId="2" numFmtId="4">
    <oc r="L15">
      <v>440.59</v>
    </oc>
    <nc r="L15">
      <v>349.39</v>
    </nc>
  </rcc>
  <rcc rId="225" sId="2" numFmtId="4">
    <oc r="M15">
      <v>74.86</v>
    </oc>
    <nc r="M15">
      <v>62.1</v>
    </nc>
  </rcc>
  <rcc rId="226" sId="2" numFmtId="4">
    <oc r="N15">
      <v>316.95</v>
    </oc>
    <nc r="N15">
      <v>453.95</v>
    </nc>
  </rcc>
  <rcc rId="227" sId="2" numFmtId="4">
    <oc r="O15">
      <v>16.68</v>
    </oc>
    <nc r="O15">
      <v>75.25</v>
    </nc>
  </rcc>
  <rcc rId="228" sId="2" numFmtId="4">
    <oc r="V15">
      <v>497.37</v>
    </oc>
    <nc r="V15">
      <v>497.38</v>
    </nc>
  </rcc>
  <rcc rId="229" sId="2" numFmtId="4">
    <oc r="Z15">
      <v>352.53300000000002</v>
    </oc>
    <nc r="Z15">
      <v>352.53</v>
    </nc>
  </rcc>
  <rcc rId="230" sId="2" numFmtId="4">
    <oc r="AA15">
      <v>436.59</v>
    </oc>
    <nc r="AA15">
      <v>436.56</v>
    </nc>
  </rcc>
  <rcc rId="231" sId="2" numFmtId="4">
    <oc r="AC15">
      <v>280.64</v>
    </oc>
    <nc r="AC15">
      <v>280.68</v>
    </nc>
  </rcc>
  <rcc rId="232" sId="2" numFmtId="4">
    <oc r="AG15">
      <v>0</v>
    </oc>
    <nc r="AG15">
      <v>629.80999999999995</v>
    </nc>
  </rcc>
  <rcc rId="233" sId="2">
    <oc r="E15">
      <f>J15+L15+N15+P15+R15+T15+V15+X15+Z15+AB15+AD15</f>
    </oc>
    <nc r="E15">
      <f>J15+L15+N15+P15+R15+T15+V15+X15+Z15+AB15+AD15+AF15</f>
    </nc>
  </rcc>
  <rcc rId="234" sId="2" numFmtId="34">
    <oc r="O14">
      <v>34921.128479999999</v>
    </oc>
    <nc r="O14">
      <v>37630.6</v>
    </nc>
  </rcc>
  <rcc rId="235" sId="2" numFmtId="4">
    <oc r="P14">
      <v>71688.37</v>
    </oc>
    <nc r="P14">
      <v>72311.78</v>
    </nc>
  </rcc>
  <rcc rId="236" sId="2" numFmtId="4">
    <oc r="Q14">
      <f>10207.02+65222.8</f>
    </oc>
    <nc r="Q14">
      <v>72720.350000000006</v>
    </nc>
  </rcc>
  <rcc rId="237" sId="2" numFmtId="4">
    <oc r="S14">
      <v>15329.3</v>
    </oc>
    <nc r="S14">
      <v>15329.31</v>
    </nc>
  </rcc>
  <rcc rId="238" sId="2" numFmtId="4">
    <oc r="T14">
      <v>44282.53</v>
    </oc>
    <nc r="T14">
      <v>43857</v>
    </nc>
  </rcc>
  <rcc rId="239" sId="2" numFmtId="4">
    <oc r="U14">
      <v>37215.589999999997</v>
    </oc>
    <nc r="U14">
      <v>37215.599999999999</v>
    </nc>
  </rcc>
  <rcc rId="240" sId="2" numFmtId="4">
    <oc r="V14">
      <v>31493.71</v>
    </oc>
    <nc r="V14">
      <v>31493.21</v>
    </nc>
  </rcc>
  <rcc rId="241" sId="2" numFmtId="4">
    <oc r="X14">
      <v>35301.93</v>
    </oc>
    <nc r="X14">
      <v>35727.43</v>
    </nc>
  </rcc>
  <rcc rId="242" sId="2" numFmtId="4">
    <oc r="Y14">
      <v>34812.46</v>
    </oc>
    <nc r="Y14">
      <v>34813.839999999997</v>
    </nc>
  </rcc>
  <rcc rId="243" sId="2" numFmtId="4">
    <oc r="Z14">
      <v>81239.399999999994</v>
    </oc>
    <nc r="Z14">
      <v>81209.399999999994</v>
    </nc>
  </rcc>
  <rcc rId="244" sId="2" numFmtId="4">
    <oc r="AA14">
      <v>84682.07</v>
    </oc>
    <nc r="AA14">
      <v>84680.69</v>
    </nc>
  </rcc>
  <rcc rId="245" sId="2" numFmtId="4">
    <oc r="AB14">
      <v>46504.37</v>
    </oc>
    <nc r="AB14">
      <v>45601.56</v>
    </nc>
  </rcc>
  <rcc rId="246" sId="2" numFmtId="4">
    <oc r="AD14">
      <v>15301.45</v>
    </oc>
    <nc r="AD14">
      <v>13181.53</v>
    </nc>
  </rcc>
  <rcc rId="247" sId="2" numFmtId="4">
    <oc r="AF14">
      <v>18817.259999999998</v>
    </oc>
    <nc r="AF14">
      <v>20719.96</v>
    </nc>
  </rcc>
  <rcc rId="248" sId="2">
    <oc r="E14">
      <f>J14+L14+N14+P14+R14+T14+V14+X14+Z14+AB14+AD14</f>
    </oc>
    <nc r="E14">
      <f>J14+L14+N14+P14+R14+T14+V14+X14+Z14+AB14+AD14+AF14</f>
    </nc>
  </rcc>
  <rcc rId="249" sId="2">
    <oc r="D13">
      <f>SUM(J13,L13,N13,P13,R13,T13,V13,X13,Z13,AB13,AD13,AF13)</f>
    </oc>
    <nc r="D13">
      <f>D14+D15</f>
    </nc>
  </rcc>
  <rfmt sheetId="2" sqref="D13">
    <dxf>
      <numFmt numFmtId="169" formatCode="#,##0.000_ ;[Red]\-#,##0.000\ "/>
    </dxf>
  </rfmt>
  <rfmt sheetId="2" sqref="D13">
    <dxf>
      <numFmt numFmtId="166" formatCode="#,##0.00_ ;[Red]\-#,##0.00\ "/>
    </dxf>
  </rfmt>
  <rfmt sheetId="2" sqref="D14">
    <dxf>
      <numFmt numFmtId="169" formatCode="#,##0.000_ ;[Red]\-#,##0.000\ "/>
    </dxf>
  </rfmt>
  <rfmt sheetId="2" sqref="D14">
    <dxf>
      <numFmt numFmtId="166" formatCode="#,##0.00_ ;[Red]\-#,##0.00\ "/>
    </dxf>
  </rfmt>
  <rcc rId="250" sId="2" numFmtId="4">
    <oc r="AG14">
      <v>0</v>
    </oc>
    <nc r="AG14">
      <v>30788.33</v>
    </nc>
  </rcc>
  <rfmt sheetId="2" sqref="D8">
    <dxf>
      <numFmt numFmtId="169" formatCode="#,##0.000_ ;[Red]\-#,##0.000\ "/>
    </dxf>
  </rfmt>
  <rfmt sheetId="2" sqref="D14">
    <dxf>
      <numFmt numFmtId="171" formatCode="#,##0.0000_ ;[Red]\-#,##0.0000\ "/>
    </dxf>
  </rfmt>
  <rfmt sheetId="2" sqref="D14">
    <dxf>
      <numFmt numFmtId="169" formatCode="#,##0.000_ ;[Red]\-#,##0.000\ "/>
    </dxf>
  </rfmt>
  <rfmt sheetId="2" sqref="D14">
    <dxf>
      <numFmt numFmtId="166" formatCode="#,##0.00_ ;[Red]\-#,##0.00\ "/>
    </dxf>
  </rfmt>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9" sId="2">
    <oc r="AH17" t="inlineStr">
      <is>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is>
    </oc>
    <nc r="AH17" t="inlineStr">
      <is>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23 338,20 рублей, из них кассовые расходы на 01.01.2026 составили 23 338,20 рублей.</t>
      </is>
    </nc>
  </rcc>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oldFormula>'17. УМИ'!$4:$7</old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4" numFmtId="4">
    <oc r="AE59">
      <v>0</v>
    </oc>
    <nc r="AE59">
      <v>11313.496999999999</v>
    </nc>
  </rcc>
  <rcc rId="2" sId="4" numFmtId="4">
    <oc r="AG59">
      <v>0</v>
    </oc>
    <nc r="AG59">
      <v>19099.29</v>
    </nc>
  </rcc>
  <rcc rId="3" sId="4">
    <oc r="E59">
      <f>J59+L59+N59+P59+R59+T59+V59+X59+Z59+AB59</f>
    </oc>
    <nc r="E59">
      <f>J59+L59+N59+P59+R59+T59+V59+X59+Z59+AB59+AD59+AF59</f>
    </nc>
  </rcc>
  <rcc rId="4" sId="4" numFmtId="4">
    <oc r="AE60">
      <v>0</v>
    </oc>
    <nc r="AE60">
      <v>3104.3249999999998</v>
    </nc>
  </rcc>
  <rcc rId="5" sId="4" numFmtId="4">
    <oc r="AF60">
      <v>1720.9269999999999</v>
    </oc>
    <nc r="AF60">
      <v>6464.9269999999997</v>
    </nc>
  </rcc>
  <rcc rId="6" sId="4" numFmtId="4">
    <oc r="AG60">
      <v>0</v>
    </oc>
    <nc r="AG60">
      <v>6424.4650000000001</v>
    </nc>
  </rcc>
  <rcc rId="7" sId="4">
    <oc r="E60">
      <f>J60+L60+N60+P60+R60+T60+V60+X60+Z60+AB60</f>
    </oc>
    <nc r="E60">
      <f>J60+L60+N60+P60+R60+T60+V60+X60+Z60+AB60+AD60+AF60</f>
    </nc>
  </rcc>
  <rcc rId="8" sId="4" numFmtId="4">
    <oc r="AA62">
      <v>0</v>
    </oc>
    <nc r="AA62">
      <v>4878.8270000000002</v>
    </nc>
  </rcc>
  <rcc rId="9" sId="4" numFmtId="4">
    <oc r="AD62">
      <v>16.399999999999999</v>
    </oc>
    <nc r="AD62">
      <v>607.70000000000005</v>
    </nc>
  </rcc>
  <rcc rId="10" sId="4" numFmtId="4">
    <oc r="AE62">
      <v>0</v>
    </oc>
    <nc r="AE62">
      <v>52.043999999999997</v>
    </nc>
  </rcc>
  <rcc rId="11" sId="4" numFmtId="4">
    <oc r="AF62">
      <v>1338.307</v>
    </oc>
    <nc r="AF62">
      <v>19088.021000000001</v>
    </nc>
  </rcc>
  <rcc rId="12" sId="4" numFmtId="4">
    <oc r="AG62">
      <v>0</v>
    </oc>
    <nc r="AG62">
      <v>22894.962</v>
    </nc>
  </rcc>
  <rcc rId="13" sId="4">
    <oc r="E62">
      <f>J62+L62+N62+P62+R62+T62+V62+X62+Z62+AB62</f>
    </oc>
    <nc r="E62">
      <f>J62+L62+N62+P62+R62+T62+V62+X62+Z62+AB62+AD62+AF62</f>
    </nc>
  </rcc>
  <rcc rId="14" sId="4" numFmtId="4">
    <oc r="AG51">
      <v>0</v>
    </oc>
    <nc r="AG51">
      <v>314.7</v>
    </nc>
  </rcc>
  <rcc rId="15" sId="4" numFmtId="4">
    <oc r="AG55">
      <v>0</v>
    </oc>
    <nc r="AG55">
      <v>120</v>
    </nc>
  </rcc>
  <rcc rId="16" sId="4" numFmtId="4">
    <oc r="AE48">
      <v>0</v>
    </oc>
    <nc r="AE48">
      <v>5315.2139999999999</v>
    </nc>
  </rcc>
  <rcc rId="17" sId="4" numFmtId="4">
    <oc r="AF48">
      <v>2633.93</v>
    </oc>
    <nc r="AF48">
      <v>3378.415</v>
    </nc>
  </rcc>
  <rcc rId="18" sId="4" numFmtId="4">
    <oc r="AG48">
      <v>0</v>
    </oc>
    <nc r="AG48">
      <v>10813.334999999999</v>
    </nc>
  </rcc>
  <rcc rId="19" sId="4">
    <oc r="E48">
      <f>J48+L48+N48+P48+R48+T48+V48+X48</f>
    </oc>
    <nc r="E48">
      <f>J48+L48+N48+P48+R48+T48+V48+X48+Z48+AB48+AD48+AF48</f>
    </nc>
  </rcc>
  <rcc rId="20" sId="4" numFmtId="4">
    <oc r="T49">
      <v>105.8</v>
    </oc>
    <nc r="T49">
      <v>605.79999999999995</v>
    </nc>
  </rcc>
  <rcc rId="21" sId="4" numFmtId="4">
    <oc r="AB49">
      <v>603.21100000000001</v>
    </oc>
    <nc r="AB49">
      <v>196.64099999999999</v>
    </nc>
  </rcc>
  <rcc rId="22" sId="4" numFmtId="4">
    <oc r="AC49">
      <v>0</v>
    </oc>
    <nc r="AC49">
      <v>438.3</v>
    </nc>
  </rcc>
  <rcc rId="23" sId="4" numFmtId="4">
    <oc r="AD49">
      <v>308.75</v>
    </oc>
    <nc r="AD49">
      <v>609.80100000000004</v>
    </nc>
  </rcc>
  <rcc rId="24" sId="4" numFmtId="4">
    <oc r="AE49">
      <v>0</v>
    </oc>
    <nc r="AE49">
      <v>531.32299999999998</v>
    </nc>
  </rcc>
  <rcc rId="25" sId="4" numFmtId="4">
    <oc r="AF49">
      <v>237.03</v>
    </oc>
    <nc r="AF49">
      <v>1187.212</v>
    </nc>
  </rcc>
  <rcc rId="26" sId="4" numFmtId="4">
    <oc r="AG49">
      <v>0</v>
    </oc>
    <nc r="AG49">
      <v>1314.944</v>
    </nc>
  </rcc>
  <rcc rId="27" sId="4">
    <oc r="E49">
      <f>J49+L49+N49+P49+R49+T49+V49+X49</f>
    </oc>
    <nc r="E49">
      <f>J49+L49+N49+P49+R49+T49+V49+X49+Z49+AB49+AD49+AF49</f>
    </nc>
  </rcc>
  <rcc rId="28" sId="4" numFmtId="4">
    <oc r="V81">
      <v>1817.9</v>
    </oc>
    <nc r="V81">
      <v>1273.415</v>
    </nc>
  </rcc>
  <rcc rId="29" sId="4" numFmtId="4">
    <oc r="AG81">
      <v>0</v>
    </oc>
    <nc r="AG81">
      <v>72.8</v>
    </nc>
  </rcc>
  <rcc rId="30" sId="4">
    <oc r="E81">
      <f>J81+L81+N81+P81+R81+T81+V81+X81+Z81+AB81</f>
    </oc>
    <nc r="E81">
      <f>J81+L81+N81+P81+R81+T81+V81+X81+Z81+AB81+AD81+AF81</f>
    </nc>
  </rcc>
  <rcc rId="31" sId="4">
    <oc r="E84">
      <f>J84</f>
    </oc>
    <nc r="E84">
      <f>J84+L84+N84+P84+R84+T84+V84+X84+Z84+AB84+AD84+AF84</f>
    </nc>
  </rcc>
  <rcc rId="32" sId="4">
    <oc r="E85">
      <f>J85</f>
    </oc>
    <nc r="E85">
      <f>J85+L85+N85+P85+R85+T85+V85+X85+Z85+AB85+AD85+AF85</f>
    </nc>
  </rcc>
  <rcc rId="33" sId="4" numFmtId="4">
    <oc r="AE89">
      <v>0</v>
    </oc>
    <nc r="AE89">
      <v>34.5</v>
    </nc>
  </rcc>
  <rcc rId="34" sId="4" numFmtId="4">
    <oc r="AG89">
      <v>0</v>
    </oc>
    <nc r="AG89">
      <v>32</v>
    </nc>
  </rcc>
  <rcc rId="35" sId="4">
    <oc r="AH89" t="inlineStr">
      <is>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is>
    </oc>
    <nc r="AH89" t="inlineStr">
      <is>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
        </r>
      </is>
    </nc>
  </rcc>
  <rcc rId="36" sId="4" numFmtId="19">
    <oc r="E6">
      <v>45901</v>
    </oc>
    <nc r="E6">
      <v>46022</v>
    </nc>
  </rcc>
  <rcc rId="37" sId="4" numFmtId="19">
    <oc r="G6">
      <v>45901</v>
    </oc>
    <nc r="G6">
      <v>46022</v>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8" sId="15" numFmtId="19">
    <oc r="E6">
      <v>45870</v>
    </oc>
    <nc r="E6">
      <v>46022</v>
    </nc>
  </rcc>
  <rcc rId="269" sId="15" numFmtId="19">
    <oc r="F6">
      <v>45870</v>
    </oc>
    <nc r="F6">
      <v>46022</v>
    </nc>
  </rcc>
  <rcc rId="270" sId="15" numFmtId="19">
    <oc r="G6">
      <v>45870</v>
    </oc>
    <nc r="G6">
      <v>46022</v>
    </nc>
  </rcc>
  <rcc rId="271" sId="15" numFmtId="4">
    <oc r="X14">
      <v>4692.93</v>
    </oc>
    <nc r="X14">
      <v>4697.53</v>
    </nc>
  </rcc>
  <rcc rId="272" sId="15" numFmtId="4">
    <oc r="Z14">
      <v>3476</v>
    </oc>
    <nc r="Z14">
      <v>3614.48</v>
    </nc>
  </rcc>
  <rcc rId="273" sId="15" numFmtId="4">
    <oc r="AB14">
      <v>3645.6</v>
    </oc>
    <nc r="AB14">
      <v>3814.6</v>
    </nc>
  </rcc>
  <rcc rId="274" sId="15" numFmtId="4">
    <oc r="AF14">
      <v>5794.41</v>
    </oc>
    <nc r="AF14">
      <v>8401.2000000000007</v>
    </nc>
  </rcc>
  <rcc rId="275" sId="15" numFmtId="4">
    <oc r="J14">
      <v>7088.74</v>
    </oc>
    <nc r="J14">
      <v>7080.5</v>
    </nc>
  </rcc>
  <rcc rId="276" sId="15" numFmtId="4">
    <oc r="AD14">
      <v>3710.7</v>
    </oc>
    <nc r="AD14">
      <v>4394.5</v>
    </nc>
  </rcc>
  <rcc rId="277" sId="15">
    <oc r="E14">
      <f>J14+L14+N14+P14+R14+T14+V14</f>
    </oc>
    <nc r="E14">
      <f>J14+L14+N14+P14+R14+T14+V14+X14+Z14+AB14+AD14+AF14</f>
    </nc>
  </rcc>
  <rcc rId="278" sId="15">
    <oc r="E12">
      <f>J12+L12+N12+P12+R12+T12+V12</f>
    </oc>
    <nc r="E12">
      <f>J12+L12+N12+P12+R12+T12+V12+X12+Z12+AB12+AD12+AF12</f>
    </nc>
  </rcc>
  <rcc rId="279" sId="15" numFmtId="4">
    <oc r="Y14">
      <v>0</v>
    </oc>
    <nc r="Y14">
      <v>3617.34</v>
    </nc>
  </rcc>
  <rcc rId="280" sId="15" numFmtId="4">
    <oc r="AA14">
      <v>0</v>
    </oc>
    <nc r="AA14">
      <v>5885.22</v>
    </nc>
  </rcc>
  <rcc rId="281" sId="15" numFmtId="4">
    <oc r="AC14">
      <v>0</v>
    </oc>
    <nc r="AC14">
      <v>4000.97</v>
    </nc>
  </rcc>
  <rcc rId="282" sId="15" numFmtId="4">
    <oc r="AE14">
      <v>0</v>
    </oc>
    <nc r="AE14">
      <v>3899.22</v>
    </nc>
  </rcc>
  <rcc rId="283" sId="15" numFmtId="4">
    <oc r="AG14">
      <v>0</v>
    </oc>
    <nc r="AG14">
      <v>9623.09</v>
    </nc>
  </rcc>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4" sId="10" numFmtId="4">
    <oc r="M23">
      <f>M24</f>
    </oc>
    <nc r="M23">
      <v>8.35</v>
    </nc>
  </rcc>
  <rcc rId="285" sId="10">
    <oc r="D23">
      <f>D24</f>
    </oc>
    <nc r="D23">
      <f>D1</f>
    </nc>
  </rcc>
  <rcc rId="286" sId="10" numFmtId="4">
    <oc r="M24">
      <v>886.77800000000002</v>
    </oc>
    <nc r="M24">
      <v>8.35</v>
    </nc>
  </rcc>
  <rcc rId="287" sId="10" numFmtId="4">
    <oc r="AG17">
      <v>0</v>
    </oc>
    <nc r="AG17">
      <v>1630.6</v>
    </nc>
  </rcc>
  <rcc rId="288" sId="10" numFmtId="4">
    <oc r="AF17">
      <v>1921.894</v>
    </oc>
    <nc r="AF17">
      <v>1503.29</v>
    </nc>
  </rcc>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9" sId="10" numFmtId="4">
    <oc r="M20">
      <v>0.55000000000000004</v>
    </oc>
    <nc r="M20">
      <v>0</v>
    </nc>
  </rcc>
  <rcc rId="290" sId="10" numFmtId="4">
    <oc r="O19">
      <v>0</v>
    </oc>
    <nc r="O19">
      <v>148.69</v>
    </nc>
  </rcc>
  <rcc rId="291" sId="10" numFmtId="4">
    <oc r="J20">
      <v>5.5279999999999996</v>
    </oc>
    <nc r="J20">
      <v>5.41</v>
    </nc>
  </rcc>
  <rcc rId="292" sId="10" numFmtId="4">
    <oc r="L20">
      <v>0</v>
    </oc>
    <nc r="L20">
      <v>5.41</v>
    </nc>
  </rcc>
  <rcc rId="293" sId="10" numFmtId="4">
    <oc r="N20">
      <v>0</v>
    </oc>
    <nc r="N20">
      <v>50.08</v>
    </nc>
  </rcc>
  <rcc rId="294" sId="10" numFmtId="4">
    <oc r="P20">
      <v>7.3579999999999997</v>
    </oc>
    <nc r="P20">
      <v>5.96</v>
    </nc>
  </rcc>
  <rcc rId="295" sId="10" numFmtId="4">
    <oc r="R20">
      <v>0</v>
    </oc>
    <nc r="R20">
      <v>5.41</v>
    </nc>
  </rcc>
  <rcc rId="296" sId="10" numFmtId="4">
    <oc r="T20">
      <v>56.4</v>
    </oc>
    <nc r="T20">
      <v>5.41</v>
    </nc>
  </rcc>
  <rcc rId="297" sId="10" numFmtId="4">
    <oc r="V20">
      <v>35.758000000000003</v>
    </oc>
    <nc r="V20">
      <v>5.41</v>
    </nc>
  </rcc>
  <rcc rId="298" sId="10" numFmtId="4">
    <oc r="X20">
      <v>0</v>
    </oc>
    <nc r="X20">
      <v>5.41</v>
    </nc>
  </rcc>
  <rcc rId="299" sId="10" numFmtId="4">
    <oc r="Z20">
      <v>0</v>
    </oc>
    <nc r="Z20">
      <v>5.41</v>
    </nc>
  </rcc>
  <rcc rId="300" sId="10" numFmtId="4">
    <oc r="AB20">
      <v>7.3579999999999997</v>
    </oc>
    <nc r="AB20">
      <v>5.41</v>
    </nc>
  </rcc>
  <rcc rId="301" sId="10" numFmtId="4">
    <oc r="AD20">
      <v>0</v>
    </oc>
    <nc r="AD20">
      <v>5.41</v>
    </nc>
  </rcc>
  <rcc rId="302" sId="10" numFmtId="4">
    <oc r="AF20">
      <v>0</v>
    </oc>
    <nc r="AF20">
      <v>12.07</v>
    </nc>
  </rcc>
  <rcc rId="303" sId="10" numFmtId="4">
    <oc r="L19">
      <v>180.916</v>
    </oc>
    <nc r="L19">
      <v>180.37</v>
    </nc>
  </rcc>
  <rcc rId="304" sId="10" numFmtId="4">
    <oc r="P19">
      <v>161.57499999999999</v>
    </oc>
    <nc r="P19">
      <v>155.61000000000001</v>
    </nc>
  </rcc>
  <rcc rId="305" sId="10" numFmtId="4">
    <oc r="V19">
      <v>237.81200000000001</v>
    </oc>
    <nc r="V19">
      <v>237.27</v>
    </nc>
  </rcc>
  <rcc rId="306" sId="10" numFmtId="4">
    <oc r="AB19">
      <v>156.15299999999999</v>
    </oc>
    <nc r="AB19">
      <v>155.61000000000001</v>
    </nc>
  </rcc>
  <rcc rId="307" sId="10" numFmtId="4">
    <oc r="J19">
      <v>248.60900000000001</v>
    </oc>
    <nc r="J19">
      <v>248.07</v>
    </nc>
  </rcc>
  <rcc rId="308" sId="10" numFmtId="4">
    <oc r="N19">
      <v>208.024</v>
    </oc>
    <nc r="N19">
      <v>157.94</v>
    </nc>
  </rcc>
  <rcc rId="309" sId="10" numFmtId="4">
    <oc r="R19">
      <v>151.97900000000001</v>
    </oc>
    <nc r="R19">
      <v>151.44</v>
    </nc>
  </rcc>
  <rcc rId="310" sId="10" numFmtId="4">
    <oc r="T19">
      <v>323.03500000000003</v>
    </oc>
    <nc r="T19">
      <v>322.5</v>
    </nc>
  </rcc>
  <rcc rId="311" sId="10" numFmtId="4">
    <oc r="X19">
      <v>151.97800000000001</v>
    </oc>
    <nc r="X19">
      <v>151.44</v>
    </nc>
  </rcc>
  <rcc rId="312" sId="10" numFmtId="4">
    <oc r="Z19">
      <v>151.97800000000001</v>
    </oc>
    <nc r="Z19">
      <v>151.44</v>
    </nc>
  </rcc>
  <rcc rId="313" sId="10" numFmtId="4">
    <oc r="AF19">
      <v>246.364</v>
    </oc>
    <nc r="AF19">
      <v>234.28</v>
    </nc>
  </rcc>
  <rcc rId="314" sId="10" numFmtId="4">
    <oc r="AD19">
      <v>151.97800000000001</v>
    </oc>
    <nc r="AD19">
      <v>151.43</v>
    </nc>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D20" start="0" length="2147483647">
    <dxf>
      <font>
        <color rgb="FFFF0000"/>
      </font>
    </dxf>
  </rfmt>
  <rcc rId="315" sId="10" numFmtId="4">
    <oc r="L20">
      <v>5.41</v>
    </oc>
    <nc r="L20">
      <v>0</v>
    </nc>
  </rcc>
  <rcc rId="316" sId="10" numFmtId="4">
    <oc r="N20">
      <v>50.08</v>
    </oc>
    <nc r="N20">
      <v>0</v>
    </nc>
  </rcc>
  <rcc rId="317" sId="10" numFmtId="4">
    <oc r="P20">
      <v>5.96</v>
    </oc>
    <nc r="P20">
      <v>7.36</v>
    </nc>
  </rcc>
  <rcc rId="318" sId="10" numFmtId="4">
    <oc r="R20">
      <v>5.41</v>
    </oc>
    <nc r="R20">
      <v>0</v>
    </nc>
  </rcc>
  <rcc rId="319" sId="10" numFmtId="4">
    <oc r="T20">
      <v>5.41</v>
    </oc>
    <nc r="T20">
      <v>56.4</v>
    </nc>
  </rcc>
  <rcc rId="320" sId="10" numFmtId="4">
    <oc r="X20">
      <v>5.41</v>
    </oc>
    <nc r="X20">
      <v>0</v>
    </nc>
  </rcc>
  <rcc rId="321" sId="10" numFmtId="4">
    <oc r="Z20">
      <v>5.41</v>
    </oc>
    <nc r="Z20">
      <v>0</v>
    </nc>
  </rcc>
  <rcc rId="322" sId="10" numFmtId="4">
    <oc r="AB20">
      <v>5.41</v>
    </oc>
    <nc r="AB20">
      <v>7.35</v>
    </nc>
  </rcc>
  <rcc rId="323" sId="10" numFmtId="4">
    <oc r="AD20">
      <v>5.41</v>
    </oc>
    <nc r="AD20">
      <v>0</v>
    </nc>
  </rcc>
  <rcc rId="324" sId="10" numFmtId="4">
    <oc r="AF20">
      <v>12.07</v>
    </oc>
    <nc r="AF20">
      <v>0</v>
    </nc>
  </rcc>
  <rcc rId="325" sId="10" numFmtId="4">
    <oc r="V20">
      <v>5.41</v>
    </oc>
    <nc r="V20">
      <v>35.76</v>
    </nc>
  </rcc>
  <rcc rId="326" sId="10" numFmtId="4">
    <oc r="J20">
      <v>5.41</v>
    </oc>
    <nc r="J20">
      <v>5.53</v>
    </nc>
  </rcc>
  <rfmt sheetId="10" sqref="D20"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27" sId="20">
    <oc r="AF18">
      <f>AF20+AF19</f>
    </oc>
    <nc r="AF18">
      <f>AF20+AF19</f>
    </nc>
  </rcc>
  <rcc rId="328" sId="20">
    <oc r="AH16" t="inlineStr">
      <is>
        <t>По сотоянию на 01.12.2025 финансовая поддержка предоставлена 43 получателю (с учетом вида поддержки 54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oc>
    <nc r="AH16" t="inlineStr">
      <is>
        <t>По сотоянию на 01.01.2026 финансовая поддержка предоставлена 44 получателю (с учетом вида поддержки 55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25,24 тыс. рублей, МБ 3,96 тыс.рублей)</t>
      </is>
    </nc>
  </rcc>
  <rcc rId="329" sId="20" numFmtId="4">
    <oc r="AG16">
      <v>0</v>
    </oc>
    <nc r="AG16">
      <v>1.04</v>
    </nc>
  </rcc>
  <rcc rId="330" sId="20" numFmtId="4">
    <oc r="AG17">
      <v>0</v>
    </oc>
    <nc r="AG17">
      <v>19.760000000000002</v>
    </nc>
  </rcc>
  <rcc rId="331" sId="20">
    <oc r="E16">
      <f>J16+L16+N16+P16+R16+T16+V16+X16+Z16+AB16+AD16</f>
    </oc>
    <nc r="E16">
      <f>J16+L16+N16+P16+R16+T16+V16+X16+Z16+AB16+AD16+AF16</f>
    </nc>
  </rcc>
  <rcc rId="332" sId="20">
    <oc r="E17">
      <f>J17+L17+N17+P17+R17+T17+V17+X17+Z17+AB17+AD17</f>
    </oc>
    <nc r="E17">
      <f>J17+L17+N17+P17+R17+T17+V17+X17+Z17+AB17+AD17+AF17</f>
    </nc>
  </rcc>
  <rcc rId="333" sId="20">
    <oc r="E14">
      <f>J14+L14+N14+P14+R14+T14+V14+X14+Z14</f>
    </oc>
    <nc r="E14">
      <f>J14+L14+N14+P14+R14+T14+V14+X14+Z14+AB14+AD14+AF14</f>
    </nc>
  </rcc>
  <rcc rId="334" sId="20">
    <oc r="E13">
      <f>J13+L13+N13+P13+R13+T13+V13+X13+Z13</f>
    </oc>
    <nc r="E13">
      <f>J13+L13+N13+P13+R13+T13+V13+X13+Z13+AB13+AD13+AF13</f>
    </nc>
  </rcc>
  <rcc rId="335" sId="20">
    <oc r="F12">
      <f>F14+F13</f>
    </oc>
    <nc r="F12">
      <f>F14+F13</f>
    </nc>
  </rcc>
  <rcc rId="336" sId="20" numFmtId="19">
    <oc r="E6">
      <v>45992</v>
    </oc>
    <nc r="E6">
      <v>46023</v>
    </nc>
  </rcc>
  <rcc rId="337" sId="20" numFmtId="19">
    <oc r="F6">
      <v>45992</v>
    </oc>
    <nc r="F6">
      <v>46023</v>
    </nc>
  </rcc>
  <rcc rId="338" sId="20" numFmtId="19">
    <oc r="G6">
      <v>45992</v>
    </oc>
    <nc r="G6">
      <v>46023</v>
    </nc>
  </rcc>
  <rcc rId="339" sId="20">
    <o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несоответствия заявителя условиям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Остаток составил 600,00 тыс. рублей, в виду несоответствия заявителя условиям порядка предоставления грантовой поддержки</t>
      </is>
    </nc>
  </rcc>
  <rcc rId="340" sId="20">
    <oc r="E22">
      <f>J22+L22+N22+P22+R22+T22+V22+X22+Z22+AB22+AD22</f>
    </oc>
    <nc r="E22">
      <f>J22+L22+N22+P22+R22+T22+V22+X22+Z22+AB22+AD22</f>
    </nc>
  </rcc>
  <rcc rId="341" sId="20">
    <oc r="F22">
      <f>G22</f>
    </oc>
    <nc r="F22">
      <f>G22</f>
    </nc>
  </rcc>
  <rcc rId="342" sId="20" odxf="1" dxf="1">
    <oc r="G22">
      <f>SUM(K22,M22,O22,Q22,S22,U22,W22,Y22,AA22,AC22,AE22,AG22)</f>
    </oc>
    <nc r="G22">
      <f>SUM(K22,M22,O22,Q22,S22,U22,W22,Y22,AA22,AC22,AE22,AG22)</f>
    </nc>
    <odxf/>
    <ndxf/>
  </rcc>
  <rcc rId="343" sId="20" numFmtId="4">
    <oc r="AG22">
      <v>0</v>
    </oc>
    <nc r="AG22">
      <v>3173.1109999999999</v>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2" sId="18" numFmtId="19">
    <oc r="G6">
      <v>45962</v>
    </oc>
    <nc r="G6">
      <v>46023</v>
    </nc>
  </rcc>
  <rcc rId="353" sId="18" numFmtId="19">
    <oc r="F6">
      <v>45962</v>
    </oc>
    <nc r="F6">
      <v>46023</v>
    </nc>
  </rcc>
  <rcc rId="354" sId="18" numFmtId="19">
    <oc r="E6">
      <v>45962</v>
    </oc>
    <nc r="E6">
      <v>46023</v>
    </nc>
  </rcc>
  <rcc rId="355" sId="18" numFmtId="4">
    <oc r="AG18">
      <v>0</v>
    </oc>
    <nc r="AG18">
      <v>176</v>
    </nc>
  </rcc>
  <rcc rId="356" sId="18" numFmtId="4">
    <oc r="AE18">
      <v>0</v>
    </oc>
    <nc r="AE18">
      <v>133.80000000000001</v>
    </nc>
  </rcc>
  <rcc rId="357" sId="18">
    <nc r="AH18" t="inlineStr">
      <is>
        <t>Заключены договоры: №76 от 06.11.2025, 46939руб. с ИП Губенко Г.Н. на приобретение ткани; №74 от 06.11.2025, 12461руб. с ИП Веденькина А.А. на приобретение бумаги, батареек, №83 от 11.11.2025; №83 от 11.11.2025г., 60000
руб. с ООО Р.А."Любимый город" на сувениры (Тарелка сувенирная "Югра", пакет сувенирный). Заключены договоры: №ГКА25-4 от 20.11.2025г., 90 тыс. руб. С ИП Голуб К.А. на поставку сценических костюмов (Джинсы, бомбер) 10 шт.; №75 от 06.11.2025г., 6тыс. руб. с ИП Лактионов на поставку цветов, №84 от 20.11.2025, 14400 руб. с ООО Р.А. "Любимый город" на изготовление пленки с печатью, товар поступил, произведена оплата. Заключен договор №ГКА25-3 от 20.11.2025г. С ИП Голуб
К.А. на поставку сценических костюмов (пиджак, бриджи, рубашка) 10 шт., костюмы поступили, произведена оплата.</t>
      </is>
    </nc>
  </rcc>
  <rcc rId="358" sId="18" numFmtId="4">
    <oc r="AE25">
      <v>0</v>
    </oc>
    <nc r="AE25">
      <v>29</v>
    </nc>
  </rcc>
  <rcc rId="359" sId="18">
    <oc r="AH27" t="inlineStr">
      <is>
        <t>Договор заключен, оплата будет после поставки товара.</t>
      </is>
    </oc>
    <nc r="AH27" t="inlineStr">
      <is>
        <t>Август - ноябрь: Заключён договор №66/2025 от 28.08.2025, оплата будет после поставки товара.                 
Декабрь: Исполнение плановых ассигнований в полном объёме.</t>
      </is>
    </nc>
  </rcc>
  <rcc rId="360" sId="18" numFmtId="4">
    <oc r="AG27">
      <v>0</v>
    </oc>
    <nc r="AG27">
      <v>6.7</v>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61" sId="18">
    <oc r="AH32" t="inlineStr">
      <is>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is>
    </oc>
    <n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 города.</t>
      </is>
    </nc>
  </rcc>
  <rcc rId="362" sId="18">
    <oc r="E9">
      <f>J9+L9+N9+P9+R9+T9+V9+X9+Z9+AB9</f>
    </oc>
    <nc r="E9">
      <f>J9+L9+N9+P9+R9+T9+V9+X9+Z9+AB9+AD9+AF9</f>
    </nc>
  </rcc>
  <rcc rId="363" sId="18">
    <oc r="F9">
      <f>SUM(J9+L9+N9+P9+R9+T9+X9+Z9+AB9)</f>
    </oc>
    <nc r="F9">
      <f>SUM(J9+L9+N9+P9+R9+T9+X9+Z9+AB9+AD9+AF9)</f>
    </nc>
  </rcc>
  <rcc rId="364" sId="18">
    <oc r="J9">
      <f>J12+J21+J30</f>
    </oc>
    <nc r="J9">
      <f>J12+J21+J30</f>
    </nc>
  </rcc>
  <rcc rId="365" sId="18">
    <oc r="E12">
      <f>J12+L12+N12+P12+R12+T12+V12+X12+Z12</f>
    </oc>
    <nc r="E12">
      <f>J12+L12+N12+P12+R12+T12+V12+X12+Z12+AB12+AD12+AF12</f>
    </nc>
  </rcc>
  <rcc rId="366" sId="18">
    <oc r="E14">
      <f>J14+L14+N14+P14+R14+T14+V14+X14+Z14</f>
    </oc>
    <nc r="E14">
      <f>J14+L14+N14+P14+R14+T14+V14+X14+Z14+AB14+AD14+AF14</f>
    </nc>
  </rcc>
  <rcc rId="367" sId="18">
    <oc r="E16">
      <f>J16+L16+N16+P16+R16+T16+V16+X16+Z16</f>
    </oc>
    <nc r="E16">
      <f>J16+L16+N16+P16+R16+T16+V16+X16+Z16+AB16+AD16+AF16</f>
    </nc>
  </rcc>
  <rcc rId="368" sId="18">
    <oc r="E18">
      <f>J18+L18+N18+P18+R18+T18+V18+X18+Z18</f>
    </oc>
    <nc r="E18">
      <f>J18+L18+N18+P18+R18+T18+V18+X18+Z18+AB18+AD18+AF18</f>
    </nc>
  </rcc>
  <rcc rId="369" sId="18">
    <oc r="F21">
      <f>SUM(J21+L21+N21+P21+R21+T21+V21+X21+Z21)</f>
    </oc>
    <nc r="F21">
      <f>SUM(J21+L21+N21+P21+R21+T21+V21+X21+Z21+AB21+AD21+AF21)</f>
    </nc>
  </rcc>
  <rcc rId="370" sId="18">
    <oc r="E23">
      <f>J23+L23+N23+P23+R23+T23+V23+X23+Z23</f>
    </oc>
    <nc r="E23">
      <f>J23+L23+N23+P23+R23+T23+V23+X23+Z23+AB23+AD23+AF23</f>
    </nc>
  </rcc>
  <rcc rId="371" sId="18">
    <oc r="E25">
      <f>J25+L25+N25+P25+R25+T25+V25+X25+Z25+AB25</f>
    </oc>
    <nc r="E25">
      <f>J25+L25+N25+P25+R25+T25+V25+X25+Z25+AB25+AD25+AF25</f>
    </nc>
  </rcc>
  <rcc rId="372" sId="18">
    <oc r="E27">
      <f>J27+L27+N27+P27+R27+T27+V27+X27+Z27+AB27</f>
    </oc>
    <nc r="E27">
      <f>J27+L27+N27+P27+R27+T27+V27+X27+Z27+AB27+AD27+AF27</f>
    </nc>
  </rcc>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3" sId="16">
    <oc r="G25">
      <f>SUM(K25,M25,O25,Q25,S25,U25,W25,Y25,AA25,AC25,AE25,AG25)</f>
    </oc>
    <nc r="G25">
      <f>K25+M25+O25+Q25+S25+U25+W25+Y25+AA25+AC25+AE25+AG25</f>
    </nc>
  </rcc>
  <rcc rId="374" sId="16" numFmtId="4">
    <oc r="AC25">
      <v>0</v>
    </oc>
    <nc r="AC25">
      <f>AC26+AC27</f>
    </nc>
  </rcc>
  <rcc rId="375" sId="16" numFmtId="4">
    <oc r="AE25">
      <v>0</v>
    </oc>
    <nc r="AE25">
      <f>AE26+AE27</f>
    </nc>
  </rcc>
  <rcc rId="376" sId="16" numFmtId="4">
    <oc r="AG25">
      <v>0</v>
    </oc>
    <nc r="AG25">
      <f>AG26+AG27</f>
    </nc>
  </rcc>
  <rcc rId="377" sId="16">
    <oc r="E27">
      <f>J27+L27+N27+P27+R27+T27+V27+X27+Z27+AB27+AD27</f>
    </oc>
    <nc r="E27">
      <f>J27+L27+N27+P27+R27+T27+V27+X27+Z27+AB27+AD27+AF27</f>
    </nc>
  </rcc>
  <rfmt sheetId="16" sqref="D25:E25">
    <dxf>
      <fill>
        <patternFill>
          <bgColor rgb="FFFFFF00"/>
        </patternFill>
      </fill>
    </dxf>
  </rfmt>
  <rcc rId="378" sId="16">
    <oc r="G27">
      <f>K27+M27+O27+Q27+S27+U27+W27+Y27+AA27+AC27+AE27</f>
    </oc>
    <nc r="G27">
      <f>K27+M27+O27+Q27+S27+U27+W27+Y27+AA27+AC27+AE27+AG27</f>
    </nc>
  </rcc>
  <rcc rId="379" sId="16" numFmtId="4">
    <nc r="AG27">
      <v>2472.4899999999998</v>
    </nc>
  </rcc>
  <rcc rId="380" sId="16" numFmtId="4">
    <oc r="K27">
      <v>349.4</v>
    </oc>
    <nc r="K27">
      <v>349.45</v>
    </nc>
  </rcc>
  <rcc rId="381" sId="16" numFmtId="4">
    <oc r="Q27">
      <v>1389.9</v>
    </oc>
    <nc r="Q27">
      <v>1389.94</v>
    </nc>
  </rcc>
  <rcc rId="382" sId="16">
    <oc r="E35">
      <f>J35+L35+N35+P35+R35+T35+V35+X35+Z35+AB35</f>
    </oc>
    <nc r="E35">
      <f>J35+L35+N35+P35+R35+T35+V35+X35+Z35+AB35+AD35+AF35</f>
    </nc>
  </rcc>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3" sId="2">
    <oc r="AH13" t="inlineStr">
      <is>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is>
    </oc>
    <nc r="AH13" t="inlineStr">
      <is>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Работы выполнены и оплачены в полном объеме.                                                      Заключен контракт №1/2025 от 31.07.2025 на выполнение работ по подготовке мастер-плана города Когалыма. Цена контракта 15 000,00 тыс.руб. Выплачен аванс в размере 10 500,00 тыс.руб. Остаток бюджетных ассигнований в размере 4 500,00 тыс.руб. будет оплачен в 2026 году (после завершения работ по разработке мастер-плана в апреле 2026 года)</t>
      </is>
    </nc>
  </rcc>
  <rcc rId="384" sId="2">
    <oc r="AH14" t="inlineStr">
      <is>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is>
    </oc>
    <nc r="AH14" t="inlineStr">
      <is>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 от 01.11.2025№91/2025 с ИП Козер С.А. на выполнение работ по обустройству пешеходной дорожки в городе Когалыме на сумму - 598,99 тыс. руб., исполнен; 
- от 01.11.2025 №92/2025 с АО "ЮТЭК-Когалым" на оказание услуг по демонтажу сезонных веток на светодиодных деревьях, цена контракта 88,64 тыс. руб., исполнен; 
 - от 19.11.2025№100/2025 с ООО "АГРО-ТЕХ-МОНТАЖ-СТРОЙ" на выполнение работ по обустройству пешеходной дорожки в городе Когалыме на сумму - 438,11 тыс. руб., исполнен;
  - от 24.11.2025№101/2025 с ИП КАБАЦКАЯ ИРИНА СЕРГЕЕВНА на выполнение работ по демонтажу опор сетей наружного освещения на территории площади по улице Мира в городе Когалыме, цена контракта 575,53 тыс. руб., работы выполнены и оплачены в полном объеме; 
- от 05.12.2025 №2025.1415421 с ИП Ивлютин И.А..на поставкуа флагов на сумму - 75,00 тыс. руб., исполнен; 
- от 08.12.2025 №25СКК332 с ООО "СПОРТИВНО-КУЛЬТУРНЫЙ КОМПЛЕКС"на поставку полиграфической продукции, цена контракта 32,55 тыс. руб., поставка выполнена и оплачена в полном объеме;
- от 15.12.2025 №114/2025 с ООО "ТЮМЕНСКАЯ ЗЕМЛЕУСТРОИТЕЛЬНАЯ КОМПАНИЯ"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136,80 тыс. руб., услуги оказаны и оплачены;
  - от 15.12.2025№115/2025 с ИП ХАНИЕВА Н.А.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80,00 тыс. руб.,услуги оказаны и оплачены;
  - от 15.12.2025 №25СКК340 ООО "СПОРТИВНО-КУЛЬТУРНЫЙ КОМПЛЕКС"на поставку полиграфической продукции, цена контракта 24,97 тыс. руб., поставка выполнена и оплачена в полном объеме;
</t>
      </is>
    </nc>
  </rcc>
  <rcv guid="{A4AF2100-C59D-4F60-9EAB-56D9103463F7}" action="delete"/>
  <rdn rId="0" localSheetId="1" customView="1" name="Z_A4AF2100_C59D_4F60_9EAB_56D9103463F7_.wvu.Rows" hidden="1" oldHidden="1">
    <formula>'1. РО'!$28:$28,'1. РО'!$32:$32,'1. РО'!$52:$52,'1. РО'!$61:$61,'1. РО'!$73:$73,'1. РО'!$77:$77</formula>
    <oldFormula>'1. РО'!$28:$28,'1. РО'!$32:$32,'1. РО'!$52:$52,'1. РО'!$61:$61,'1. РО'!$73:$73,'1. РО'!$77:$77</oldFormula>
  </rdn>
  <rdn rId="0" localSheetId="4" customView="1" name="Z_A4AF2100_C59D_4F60_9EAB_56D9103463F7_.wvu.Rows" hidden="1" oldHidden="1">
    <formula>'4. КП'!$23:$23,'4. КП'!$27:$27,'4. КП'!$68:$68,'4. КП'!$75:$75,'4. КП'!$83:$83,'4. КП'!$87:$88,'4. КП'!$91:$91,'4. КП'!$93:$93</formula>
    <oldFormula>'4. КП'!$23:$23,'4. КП'!$27:$27,'4. КП'!$68:$68,'4. КП'!$75:$75,'4. КП'!$83:$83,'4. КП'!$87:$88,'4. КП'!$91:$91,'4. КП'!$93:$93</oldFormula>
  </rdn>
  <rdn rId="0" localSheetId="5" customView="1" name="Z_A4AF2100_C59D_4F60_9EAB_56D9103463F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4AF2100_C59D_4F60_9EAB_56D9103463F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4AF2100_C59D_4F60_9EAB_56D9103463F7_.wvu.Rows" hidden="1" oldHidden="1">
    <formula>'9. РЖКК'!$14:$14,'9. РЖКК'!$28:$28</formula>
    <oldFormula>'9. РЖКК'!$14:$14,'9. РЖКК'!$28:$28</oldFormula>
  </rdn>
  <rdn rId="0" localSheetId="14" customView="1" name="Z_A4AF2100_C59D_4F60_9EAB_56D9103463F7_.wvu.Rows" hidden="1" oldHidden="1">
    <formula>'14. РТС'!$14:$15,'14. РТС'!$19:$19,'14. РТС'!$30:$30,'14. РТС'!$33:$33,'14. РТС'!$36:$36,'14. РТС'!$43:$43</formula>
    <oldFormula>'14. РТС'!$14:$15,'14. РТС'!$19:$19,'14. РТС'!$30:$30,'14. РТС'!$33:$33,'14. РТС'!$36:$36,'14. РТС'!$43:$43</oldFormula>
  </rdn>
  <rdn rId="0" localSheetId="17" customView="1" name="Z_A4AF2100_C59D_4F60_9EAB_56D9103463F7_.wvu.PrintTitles" hidden="1" oldHidden="1">
    <formula>'17. УМИ'!$4:$7</formula>
    <oldFormula>'17. УМИ'!$4:$7</oldFormula>
  </rdn>
  <rdn rId="0" localSheetId="20" customView="1" name="Z_A4AF2100_C59D_4F60_9EAB_56D9103463F7_.wvu.Rows" hidden="1" oldHidden="1">
    <formula>'20. МСП'!$19:$19</formula>
    <oldFormula>'20. МСП'!$19:$19</oldFormula>
  </rdn>
  <rcv guid="{A4AF2100-C59D-4F60-9EAB-56D9103463F7}"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3" sId="16">
    <oc r="AH39" t="inlineStr">
      <is>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is>
    </oc>
    <nc r="AH39" t="inlineStr">
      <is>
        <t>В соответствии с постановлением Администрации города Когалыма от 27.06.2025 №1453 прием заявок стартовал 05.09.2025 до 08.10.2025.</t>
      </is>
    </nc>
  </rcc>
  <rcc rId="394" sId="16" odxf="1" dxf="1">
    <oc r="D45">
      <f>SUM(J45,L45,N45,P45,R45,T45,V45,X45,Z45,AB45,AD45,AF45)</f>
    </oc>
    <nc r="D45">
      <f>SUM(J45,L45,N45,P45,R45,T45,V45,X45,Z45,AB45,AD45,AF45)</f>
    </nc>
    <odxf>
      <font>
        <sz val="12"/>
        <color rgb="FFFF0000"/>
        <name val="Times New Roman"/>
        <scheme val="none"/>
      </font>
      <fill>
        <patternFill patternType="solid">
          <bgColor rgb="FFFFFF00"/>
        </patternFill>
      </fill>
      <protection locked="1"/>
    </odxf>
    <ndxf>
      <font>
        <sz val="12"/>
        <color auto="1"/>
        <name val="Times New Roman"/>
        <scheme val="none"/>
      </font>
      <fill>
        <patternFill patternType="none">
          <bgColor indexed="65"/>
        </patternFill>
      </fill>
      <protection locked="0"/>
    </ndxf>
  </rcc>
  <rcc rId="395" sId="16">
    <oc r="AH52" t="inlineStr">
      <is>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is>
    </oc>
    <nc r="AH52" t="inlineStr">
      <is>
        <t xml:space="preserve">         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Субсидия предоставления Колеватых С.Н по по программе «Лето в Когалыме» (147 тыс.руб), Колеватых С.Н. по программе «Краски России» (147 тыс.руб).</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4" numFmtId="4">
    <oc r="AE24">
      <v>0</v>
    </oc>
    <nc r="AE24">
      <v>10.1</v>
    </nc>
  </rcc>
  <rcc rId="48" sId="4" numFmtId="4">
    <oc r="AE25">
      <v>0</v>
    </oc>
    <nc r="AE25">
      <v>1.55</v>
    </nc>
  </rcc>
  <rcc rId="49" sId="4" numFmtId="4">
    <oc r="AG24">
      <v>0</v>
    </oc>
    <nc r="AG24">
      <v>20.94</v>
    </nc>
  </rcc>
  <rcc rId="50" sId="4" numFmtId="4">
    <oc r="AG25">
      <v>0</v>
    </oc>
    <nc r="AG25">
      <v>2.4</v>
    </nc>
  </rcc>
  <rcc rId="51" sId="4">
    <oc r="E24">
      <f>J24+L24+N24+P24+R24+T24++V24+X24+Z24+AB24</f>
    </oc>
    <nc r="E24">
      <f>J24+L24+N24+P24+R24+T24++V24+X24+Z24+AB24+AD24+AF24</f>
    </nc>
  </rcc>
  <rcc rId="52" sId="4">
    <oc r="E25">
      <f>J25+L25+N25+P25+R25+T25++V25+X25+Z25+AB25</f>
    </oc>
    <nc r="E25">
      <f>J25+L25+N25+P25+R25+T25++V25+X25+Z25+AB25+AD25+AF25</f>
    </nc>
  </rcc>
  <rcc rId="53" sId="4" numFmtId="4">
    <oc r="AE28">
      <v>0</v>
    </oc>
    <nc r="AE28">
      <v>12</v>
    </nc>
  </rcc>
  <rcc rId="54" sId="4" numFmtId="4">
    <oc r="AE29">
      <v>0</v>
    </oc>
    <nc r="AE29">
      <v>0.79</v>
    </nc>
  </rcc>
  <rcc rId="55" sId="4" numFmtId="4">
    <oc r="AG28">
      <v>0</v>
    </oc>
    <nc r="AG28">
      <v>12</v>
    </nc>
  </rcc>
  <rcc rId="56" sId="4" numFmtId="4">
    <oc r="AG29">
      <v>0</v>
    </oc>
    <nc r="AG29">
      <v>2.39</v>
    </nc>
  </rcc>
  <rcc rId="57" sId="4">
    <oc r="E28">
      <f>J28+L28+N28+P28+R28+T28++V28+X28+Z28+AB28</f>
    </oc>
    <nc r="E28">
      <f>J28+L28+N28+P28+R28+T28++V28+X28+Z28+AB28+AD28+AF28</f>
    </nc>
  </rcc>
  <rcc rId="58" sId="4">
    <oc r="E29">
      <f>J29+L29+N29+P29+R29+T29++V29+X29+Z29+AB29</f>
    </oc>
    <nc r="E29">
      <f>J29+L29+N29+P29+R29+T29++V29+X29+Z29+AB29+AD29+AF29</f>
    </nc>
  </rcc>
  <rcc rId="59" sId="4">
    <oc r="E31">
      <f>J31+L31+N31+P31+R31+T31+V31+X31</f>
    </oc>
    <nc r="E31">
      <f>J31+L31+N31+P31+R31+T31++V31+X31+Z31+AB31+AD31+AF31</f>
    </nc>
  </rcc>
  <rcc rId="60" sId="4">
    <oc r="E32">
      <f>J32+L32+N32+P32+R32+T32+V32+X32</f>
    </oc>
    <nc r="E32">
      <f>J32+L32+N32+P32+R32+T32++V32+X32+Z32+AB32+AD32+AF32</f>
    </nc>
  </rcc>
  <rcc rId="61" sId="4">
    <oc r="E33">
      <f>J33+L33+N33+P33+R33+T33+V33+X33</f>
    </oc>
    <nc r="E33">
      <f>J33+L33+N33+P33+R33+T33++V33+X33+Z33+AB33+AD33+AF33</f>
    </nc>
  </rcc>
  <rcc rId="62" sId="4">
    <oc r="E15">
      <f>J15+L15+N15+P15+R15+T15+V15+X15+Z15+AB15</f>
    </oc>
    <nc r="E15">
      <f>J15+T15</f>
    </nc>
  </rcc>
  <rcc rId="63" sId="4">
    <oc r="E16">
      <f>J16+L16+N16+P16+R16+T16+V16+X16+Z16+AB16</f>
    </oc>
    <nc r="E16">
      <f>J16+L16+N16+P16+R16+T16+V16+X16+Z16+AB16+AD16+AF16</f>
    </nc>
  </rcc>
  <rcc rId="64" sId="4">
    <oc r="E17">
      <f>J17+L17+N17+P17+R17+T17+V17+X17+Z17+AB17</f>
    </oc>
    <nc r="E17">
      <f>J17+L17+N17+P17+R17+T17+V17+X17+Z17+AB17+AD17+AF17</f>
    </nc>
  </rcc>
  <rcc rId="65" sId="4">
    <oc r="E64">
      <f>J64+L64+N64+P64+R64+T64+V64+X64+Z64+AB64</f>
    </oc>
    <nc r="E64">
      <f>J64+L64+N64+P64+R64+T64+V64+X64+Z64+AB64+AD64+AF64</f>
    </nc>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6" sId="16">
    <oc r="AH39" t="inlineStr">
      <is>
        <t>В соответствии с постановлением Администрации города Когалыма от 27.06.2025 №1453 прием заявок стартовал 05.09.2025 до 08.10.2025.</t>
      </is>
    </oc>
    <nc r="AH39" t="inlineStr">
      <is>
        <t>В соответствии с постановлением Администрации города Когалыма от 27.06.2025 №1453 прием заявок стартовал 05.09.2025 до 08.10.2025.                                                          Победители конкурса: 1.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05" sId="18">
    <oc r="E30">
      <f>J30+L30+N30+P30+R30+T30+V30+X30+Z30+AB30</f>
    </oc>
    <nc r="E30">
      <f>J30+L30+N30+P30+R30+T30+V30+X30+Z30+AB30+AD30+AF30</f>
    </nc>
  </rcc>
  <rcc rId="406" sId="18">
    <oc r="E32">
      <f>J32+L32+N32+P32+R32+T32+V32+X32+Z32</f>
    </oc>
    <nc r="E32">
      <f>J32+L32+N32+P32+R32+T32+V32+X32+Z32+AB32+AD32+AF32</f>
    </nc>
  </rcc>
  <rcc rId="407" sId="18">
    <oc r="F9">
      <f>SUM(J9+L9+N9+P9+R9+T9+X9+Z9+AB9+AD9+AF9)</f>
    </oc>
    <nc r="F9">
      <f>SUM(J9+L9+N9+P9+R9+T9+V9+X9+Z9+AB9+AD9+AF9)</f>
    </nc>
  </rcc>
  <rcc rId="408" sId="18" numFmtId="4">
    <oc r="V32">
      <v>938.1</v>
    </oc>
    <nc r="V32">
      <v>0</v>
    </nc>
  </rcc>
  <rcc rId="409" sId="18">
    <o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Деньги возвращены в бюджет города.</t>
      </is>
    </oc>
    <nc r="AH32" t="inlineStr">
      <is>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Денежные средства в размере 938,10 тыс. руб возвращены в бюджет города в декабре 2025 года.</t>
      </is>
    </nc>
  </rcc>
  <rcc rId="410" sId="18">
    <oc r="E21">
      <f>J21+L21+N21+P21+R21+T21+V21+X21+Z21</f>
    </oc>
    <nc r="E21">
      <f>J21+L21+N21+P21+R21+T21+V21+X21+Z21+AB21+AD21+AF21</f>
    </nc>
  </rcc>
  <rcc rId="411" sId="18">
    <oc r="AH23" t="inlineStr">
      <is>
        <t xml:space="preserve">Март: Проведены мероприятие в рамках проекта "Живое слово". Остаток ассигнований - в сумме 38,8 тыс.руб. </t>
      </is>
    </oc>
    <nc r="AH23" t="inlineStr">
      <is>
        <t xml:space="preserve">Март: Проведены мероприятие в рамках проекта "Живое слово". Остаток ассигнований - в сумме 38,8 тыс.руб. Возвращены в бюджет города. </t>
      </is>
    </nc>
  </rcc>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2" sId="16">
    <oc r="AH39" t="inlineStr">
      <is>
        <t>В соответствии с постановлением Администрации города Когалыма от 27.06.2025 №1453 прием заявок стартовал 05.09.2025 до 08.10.2025.                                                          Победители конкурса: 1.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oc>
    <nc r="AH39" t="inlineStr">
      <is>
        <t xml:space="preserve">         Порядок предоставления гранта в форме субсидий физическим лицам - победителям конкурса молодежных инициатив города Когалыма на реализацию проекта» утвержден в соответствии с Постановлением Администрации города Когалыма от 31.05.2021 №1146. Прием заявок осуществлялся с 05.09.2025 до 08.10.2025.          
 Определены победители конкурса, которым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is>
    </nc>
  </rcc>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AG36:AG37" start="0" length="2147483647">
    <dxf>
      <font>
        <color auto="1"/>
      </font>
    </dxf>
  </rfmt>
  <rfmt sheetId="16" sqref="AG36:AG37" start="0" length="2147483647">
    <dxf>
      <font/>
    </dxf>
  </rfmt>
  <rfmt sheetId="16" sqref="AG32" start="0" length="2147483647">
    <dxf>
      <font>
        <b val="0"/>
      </font>
    </dxf>
  </rfmt>
  <rfmt sheetId="16" sqref="AG30:AG34" start="0" length="2147483647">
    <dxf>
      <font>
        <color auto="1"/>
      </font>
    </dxf>
  </rfmt>
  <rfmt sheetId="16" sqref="AG34" start="0" length="2147483647">
    <dxf>
      <font>
        <b val="0"/>
      </font>
    </dxf>
  </rfmt>
  <rcc rId="413" sId="16" odxf="1" dxf="1" numFmtId="4">
    <nc r="AG40">
      <v>0</v>
    </nc>
    <ndxf>
      <font>
        <sz val="12"/>
        <color theme="1"/>
        <name val="Times New Roman"/>
        <scheme val="none"/>
      </font>
      <numFmt numFmtId="166" formatCode="#,##0.00_ ;[Red]\-#,##0.00\ "/>
      <alignment horizontal="center" readingOrder="0"/>
      <border outline="0">
        <left style="thin">
          <color indexed="64"/>
        </left>
        <right style="thin">
          <color indexed="64"/>
        </right>
        <top style="thin">
          <color indexed="64"/>
        </top>
        <bottom style="thin">
          <color indexed="64"/>
        </bottom>
      </border>
      <protection locked="0"/>
    </ndxf>
  </rcc>
  <rcc rId="414" sId="16" numFmtId="4">
    <nc r="AG41">
      <v>0</v>
    </nc>
  </rcc>
  <rfmt sheetId="16" sqref="AG44" start="0" length="2147483647">
    <dxf>
      <font>
        <b val="0"/>
      </font>
    </dxf>
  </rfmt>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5" sId="16">
    <oc r="E15">
      <f>J15+L15</f>
    </oc>
    <nc r="E15">
      <f>J15+L15++N15+P15+R15+T15+V15+X15+Z15+AB15+AD15+AF15</f>
    </nc>
  </rcc>
  <rcc rId="416" sId="16">
    <oc r="E13">
      <f>J13+L13</f>
    </oc>
    <nc r="E13">
      <f>E15+E17+E19</f>
    </nc>
  </rcc>
  <rcc rId="417" sId="16">
    <oc r="E19">
      <f>J19+L19</f>
    </oc>
    <nc r="E19">
      <f>J19+L19+N19+P19+R19+T19+V19+X19+Z19+AB19+AD19+AF19</f>
    </nc>
  </rcc>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D45">
    <dxf>
      <fill>
        <patternFill patternType="solid">
          <bgColor rgb="FFFFFF00"/>
        </patternFill>
      </fill>
    </dxf>
  </rfmt>
  <rcc rId="418" sId="16" numFmtId="4">
    <oc r="Z45">
      <v>5661.4</v>
    </oc>
    <nc r="Z45">
      <v>5661.41</v>
    </nc>
  </rcc>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19" sId="16" numFmtId="4">
    <oc r="AD57">
      <v>590.48400000000004</v>
    </oc>
    <nc r="AD57">
      <v>649.07399999999996</v>
    </nc>
  </rcc>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0" sId="16">
    <oc r="E30">
      <f>J30+L30+N30+P30+R30+T30+V30+X30+Z30</f>
    </oc>
    <nc r="E30">
      <f>J30+L30+N30+P30+R30+T30+V30+X30+Z30+AB30+AD30+AF30</f>
    </nc>
  </rcc>
  <rcc rId="421" sId="16" odxf="1" dxf="1">
    <oc r="D45">
      <f>SUM(J45,L45,N45,P45,R45,T45,V45,X45,Z45,AB45,AD45,AF45)</f>
    </oc>
    <nc r="D45">
      <f>SUM(J45,L45,N45,P45,R45,T45,V45,X45,Z45,AB45,AD45,AF45)</f>
    </nc>
    <odxf>
      <fill>
        <patternFill patternType="solid">
          <bgColor rgb="FFFFFF00"/>
        </patternFill>
      </fill>
      <protection locked="0"/>
    </odxf>
    <ndxf>
      <fill>
        <patternFill patternType="none">
          <bgColor indexed="65"/>
        </patternFill>
      </fill>
      <protection locked="1"/>
    </ndxf>
  </rcc>
  <rcc rId="422" sId="16" numFmtId="4">
    <oc r="J27">
      <v>1322.9159999999999</v>
    </oc>
    <nc r="J27">
      <v>1289.6869999999999</v>
    </nc>
  </rcc>
  <rcc rId="423" sId="16" numFmtId="4">
    <oc r="V27">
      <v>1827.54</v>
    </oc>
    <nc r="V27">
      <v>1842.1379999999999</v>
    </nc>
  </rcc>
  <rcc rId="424" sId="16" numFmtId="4">
    <oc r="X27">
      <v>1453.259</v>
    </oc>
    <nc r="X27">
      <v>1456.32</v>
    </nc>
  </rcc>
  <rcc rId="425" sId="16" numFmtId="4">
    <oc r="Z27">
      <v>1268.499</v>
    </oc>
    <nc r="Z27">
      <v>1267.259</v>
    </nc>
  </rcc>
  <rcc rId="426" sId="16" numFmtId="4">
    <oc r="AB27">
      <v>1271.634</v>
    </oc>
    <nc r="AB27">
      <v>1270.674</v>
    </nc>
  </rcc>
  <rcc rId="427" sId="16" numFmtId="4">
    <oc r="AD27">
      <v>1269.258</v>
    </oc>
    <nc r="AD27">
      <v>1295.7809999999999</v>
    </nc>
  </rcc>
  <rcc rId="428" sId="16" numFmtId="4">
    <oc r="AF27">
      <v>1407.124</v>
    </oc>
    <nc r="AF27">
      <v>1515.7280000000001</v>
    </nc>
  </rcc>
  <rcc rId="429" sId="16" numFmtId="4">
    <oc r="N27">
      <v>1354.6144999999999</v>
    </oc>
    <nc r="N27">
      <v>1354.614</v>
    </nc>
  </rcc>
  <rcc rId="430" sId="16" numFmtId="4">
    <oc r="R27">
      <v>1380.4179999999999</v>
    </oc>
    <nc r="R27">
      <v>1387.6579999999999</v>
    </nc>
  </rcc>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31" sId="9" numFmtId="4">
    <oc r="D11">
      <v>288981.94</v>
    </oc>
    <nc r="D11">
      <v>278414.34000000003</v>
    </nc>
  </rcc>
  <rcc rId="432" sId="9" numFmtId="4">
    <oc r="D21">
      <v>233386.74</v>
    </oc>
    <nc r="D21">
      <v>222819.14</v>
    </nc>
  </rcc>
  <rcc rId="433" sId="9" numFmtId="4">
    <oc r="D22">
      <v>233386.74</v>
    </oc>
    <nc r="D22">
      <v>222819.14</v>
    </nc>
  </rcc>
  <rcc rId="434" sId="9" numFmtId="4">
    <oc r="E10">
      <v>489142.65</v>
    </oc>
    <nc r="E10">
      <v>723630.9</v>
    </nc>
  </rcc>
  <rcc rId="435" sId="9" numFmtId="4">
    <oc r="E11">
      <v>203628.91</v>
    </oc>
    <nc r="E11">
      <v>278414.34000000003</v>
    </nc>
  </rcc>
  <rcc rId="436" sId="9" numFmtId="4">
    <oc r="E29">
      <v>43409.85</v>
    </oc>
    <nc r="E29">
      <v>75032.100000000006</v>
    </nc>
  </rcc>
  <rcc rId="437" sId="9" numFmtId="4">
    <oc r="E30">
      <v>10852.47</v>
    </oc>
    <nc r="E30">
      <v>18758.099999999999</v>
    </nc>
  </rcc>
  <rcc rId="438" sId="9" numFmtId="19">
    <oc r="E6">
      <v>45992</v>
    </oc>
    <nc r="E6">
      <v>46023</v>
    </nc>
  </rcc>
  <rcc rId="439" sId="9" numFmtId="19">
    <oc r="F6">
      <v>45992</v>
    </oc>
    <nc r="F6">
      <v>46023</v>
    </nc>
  </rcc>
  <rcc rId="440" sId="9" numFmtId="19">
    <oc r="G6">
      <v>45992</v>
    </oc>
    <nc r="G6">
      <v>46023</v>
    </nc>
  </rcc>
  <rcc rId="441" sId="9" numFmtId="4">
    <oc r="E24">
      <f>E25</f>
    </oc>
    <nc r="E24">
      <v>460.9</v>
    </nc>
  </rcc>
  <rcc rId="442" sId="9" numFmtId="4">
    <oc r="E25">
      <f>J25</f>
    </oc>
    <nc r="E25">
      <v>460.9</v>
    </nc>
  </rcc>
  <rcc rId="443" sId="9" numFmtId="4">
    <oc r="E22">
      <v>167080.94</v>
    </oc>
    <nc r="E22">
      <v>222819.14</v>
    </nc>
  </rcc>
  <rcc rId="444" sId="9" numFmtId="4">
    <oc r="E13">
      <f>E15+E16+E14</f>
    </oc>
    <nc r="E13">
      <v>684975</v>
    </nc>
  </rcc>
  <rcc rId="445" sId="9" numFmtId="4">
    <oc r="E15">
      <v>445732.8</v>
    </oc>
    <nc r="E15">
      <v>648598.80000000005</v>
    </nc>
  </rcc>
  <rcc rId="446" sId="9" numFmtId="4">
    <oc r="E16">
      <v>25695.5</v>
    </oc>
    <nc r="E16">
      <v>36376.199999999997</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AH24" start="0" length="0">
    <dxf>
      <numFmt numFmtId="166" formatCode="#,##0.00_ ;[Red]\-#,##0.00\ "/>
    </dxf>
  </rfmt>
  <rcc rId="455" sId="16">
    <oc r="D25">
      <f>SUM(J25,L25,N25,P25,R25,T25,V25,X25,Z25,AB25,AD25,AF25)</f>
    </oc>
    <nc r="D25">
      <f>J25+L25+N25+P25+R25+T25+V25+X25+Z25+AB25+AD25+AF25</f>
    </nc>
  </rcc>
  <rcc rId="456" sId="16" numFmtId="4">
    <oc r="J25">
      <v>1658.1</v>
    </oc>
    <nc r="J25">
      <f>J26+J27</f>
    </nc>
  </rcc>
  <rcc rId="457" sId="16" numFmtId="4">
    <oc r="L25">
      <v>1365.44</v>
    </oc>
    <nc r="L25">
      <f>L26+L27</f>
    </nc>
  </rcc>
  <rcc rId="458" sId="16" numFmtId="4">
    <oc r="N25">
      <v>1499.29</v>
    </oc>
    <nc r="N25">
      <f>N26+N27</f>
    </nc>
  </rcc>
  <rcc rId="459" sId="16">
    <oc r="P25">
      <f>P26+P27</f>
    </oc>
    <nc r="P25">
      <f>P26+P27</f>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 sId="6" numFmtId="19">
    <oc r="E6">
      <v>45839</v>
    </oc>
    <nc r="E6">
      <v>46023</v>
    </nc>
  </rcc>
  <rcc rId="67" sId="6" numFmtId="19">
    <oc r="F6">
      <v>45839</v>
    </oc>
    <nc r="F6">
      <v>46023</v>
    </nc>
  </rcc>
  <rcc rId="68" sId="6" numFmtId="19">
    <oc r="G6">
      <v>45839</v>
    </oc>
    <nc r="G6">
      <v>46023</v>
    </nc>
  </rcc>
  <rcv guid="{A0E2FBF6-E560-4343-8BE6-217DC798135B}" action="delete"/>
  <rdn rId="0" localSheetId="1" customView="1" name="Z_A0E2FBF6_E560_4343_8BE6_217DC798135B_.wvu.Rows" hidden="1" oldHidden="1">
    <formula>'1. РО'!$28:$28,'1. РО'!$32:$32,'1. РО'!$52:$52,'1. РО'!$61:$61,'1. РО'!$73:$73,'1. РО'!$77:$77</formula>
    <oldFormula>'1. РО'!$28:$28,'1. РО'!$32:$32,'1. РО'!$52:$52,'1. РО'!$61:$61,'1. РО'!$73:$73,'1. РО'!$77:$77</oldFormula>
  </rdn>
  <rdn rId="0" localSheetId="4" customView="1" name="Z_A0E2FBF6_E560_4343_8BE6_217DC798135B_.wvu.Rows" hidden="1" oldHidden="1">
    <formula>'4. КП'!$23:$23,'4. КП'!$27:$27,'4. КП'!$68:$68,'4. КП'!$75:$75,'4. КП'!$83:$83,'4. КП'!$87:$88,'4. КП'!$91:$91,'4. КП'!$93:$93</formula>
    <oldFormula>'4. КП'!$23:$23,'4. КП'!$27:$27,'4. КП'!$68:$68,'4. КП'!$75:$75,'4. КП'!$83:$83,'4. КП'!$87:$88,'4. КП'!$91:$91,'4. КП'!$93:$93</oldFormula>
  </rdn>
  <rdn rId="0" localSheetId="5" customView="1" name="Z_A0E2FBF6_E560_4343_8BE6_217DC798135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0E2FBF6_E560_4343_8BE6_217DC798135B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A0E2FBF6_E560_4343_8BE6_217DC798135B_.wvu.Rows" hidden="1" oldHidden="1">
    <formula>'9. РЖКК'!$14:$14,'9. РЖКК'!$28:$28</formula>
    <oldFormula>'9. РЖКК'!$14:$14,'9. РЖКК'!$28:$28</oldFormula>
  </rdn>
  <rdn rId="0" localSheetId="14" customView="1" name="Z_A0E2FBF6_E560_4343_8BE6_217DC798135B_.wvu.Rows" hidden="1" oldHidden="1">
    <formula>'14. РТС'!$14:$15,'14. РТС'!$19:$19,'14. РТС'!$30:$30,'14. РТС'!$33:$33,'14. РТС'!$36:$36,'14. РТС'!$43:$43</formula>
    <oldFormula>'14. РТС'!$14:$15,'14. РТС'!$19:$19,'14. РТС'!$30:$30,'14. РТС'!$33:$33,'14. РТС'!$36:$36,'14. РТС'!$43:$43</oldFormula>
  </rdn>
  <rdn rId="0" localSheetId="17" customView="1" name="Z_A0E2FBF6_E560_4343_8BE6_217DC798135B_.wvu.PrintTitles" hidden="1" oldHidden="1">
    <formula>'17. УМИ'!$4:$7</formula>
  </rdn>
  <rdn rId="0" localSheetId="20" customView="1" name="Z_A0E2FBF6_E560_4343_8BE6_217DC798135B_.wvu.Rows" hidden="1" oldHidden="1">
    <formula>'20. МСП'!$19:$19</formula>
    <oldFormula>'20. МСП'!$19:$19</oldFormula>
  </rdn>
  <rcv guid="{A0E2FBF6-E560-4343-8BE6-217DC798135B}" action="add"/>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0" sId="9" numFmtId="4">
    <oc r="F11">
      <v>175777.13</v>
    </oc>
    <nc r="F11">
      <v>253883.21</v>
    </nc>
  </rcc>
  <rcc rId="461" sId="9" numFmtId="4">
    <oc r="F10">
      <v>489081.77</v>
    </oc>
    <nc r="F10">
      <v>723630.9</v>
    </nc>
  </rcc>
  <rcc rId="462" sId="9" numFmtId="4">
    <oc r="G10">
      <v>489081.77</v>
    </oc>
    <nc r="G10">
      <v>723630.9</v>
    </nc>
  </rcc>
  <rcc rId="463" sId="9" numFmtId="4">
    <oc r="G11">
      <v>175777.13</v>
    </oc>
    <nc r="G11">
      <v>253883.21</v>
    </nc>
  </rcc>
  <rcc rId="464" sId="9" numFmtId="4">
    <oc r="H11">
      <v>46.97</v>
    </oc>
    <nc r="H11">
      <v>100</v>
    </nc>
  </rcc>
  <rcc rId="465" sId="9" numFmtId="4">
    <oc r="F15">
      <v>445671.92</v>
    </oc>
    <nc r="F15">
      <v>648598.80000000005</v>
    </nc>
  </rcc>
  <rcc rId="466" sId="9" numFmtId="4">
    <oc r="F16">
      <v>25692.3</v>
    </oc>
    <nc r="F16">
      <v>36376.199999999997</v>
    </nc>
  </rcc>
  <rcc rId="467" sId="9" numFmtId="4">
    <oc r="F13">
      <v>471364.22</v>
    </oc>
    <nc r="F13">
      <v>684975</v>
    </nc>
  </rcc>
  <rcc rId="468" sId="9" numFmtId="4">
    <oc r="G13">
      <v>471364.22</v>
    </oc>
    <nc r="G13">
      <v>684975</v>
    </nc>
  </rcc>
  <rcc rId="469" sId="9">
    <oc r="G14">
      <f>SUM(K14,M14,O14,Q14,S14,U14,W14,Y14,AA14,AC14,AE14,AG14)</f>
    </oc>
    <nc r="G14">
      <f>H14</f>
    </nc>
  </rcc>
  <rcc rId="470" sId="9" numFmtId="4">
    <oc r="G15">
      <v>445671.92</v>
    </oc>
    <nc r="G15">
      <v>648598.80000000005</v>
    </nc>
  </rcc>
  <rcc rId="471" sId="9" numFmtId="4">
    <oc r="G16">
      <v>25692.3</v>
    </oc>
    <nc r="G16">
      <v>36376.199999999997</v>
    </nc>
  </rcc>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2" sId="9" numFmtId="4">
    <oc r="F22">
      <v>139232.35999999999</v>
    </oc>
    <nc r="F22">
      <v>198750.29</v>
    </nc>
  </rcc>
  <rcc rId="473" sId="9" numFmtId="4">
    <oc r="G22">
      <v>139232.35999999999</v>
    </oc>
    <nc r="G22">
      <v>198750.29</v>
    </nc>
  </rcc>
  <rcc rId="474" sId="9" numFmtId="4">
    <oc r="H22">
      <v>50.38</v>
    </oc>
    <nc r="H22">
      <v>89.2</v>
    </nc>
  </rcc>
  <rcc rId="475" sId="9" numFmtId="4">
    <oc r="F29">
      <v>43409.85</v>
    </oc>
    <nc r="F29">
      <v>75032.100000000006</v>
    </nc>
  </rcc>
  <rcc rId="476" sId="9" numFmtId="4">
    <oc r="G29">
      <v>43409.85</v>
    </oc>
    <nc r="G29">
      <v>75032.100000000006</v>
    </nc>
  </rcc>
  <rcc rId="477" sId="9" numFmtId="4">
    <oc r="F30">
      <v>10852.47</v>
    </oc>
    <nc r="F30">
      <v>18758.099999999999</v>
    </nc>
  </rcc>
  <rcc rId="478" sId="9" numFmtId="4">
    <oc r="G30">
      <v>10852.47</v>
    </oc>
    <nc r="G30">
      <v>18758.099999999999</v>
    </nc>
  </rcc>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9" sId="9" numFmtId="4">
    <oc r="AG30">
      <v>0</v>
    </oc>
    <nc r="AG30">
      <v>7905.63</v>
    </nc>
  </rcc>
  <rcc rId="480" sId="9" numFmtId="4">
    <oc r="AG29">
      <v>0</v>
    </oc>
    <nc r="AG29">
      <v>31622.25</v>
    </nc>
  </rcc>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1" sId="16" odxf="1" dxf="1">
    <oc r="D25">
      <f>J25+L25+N25+P25+R25+T25+V25+X25+Z25+AB25+AD25+AF25</f>
    </oc>
    <nc r="D25">
      <f>J25+L25+N25+P25+R25+T25+V25+X25+Z25+AB25+AD25+AF25</f>
    </nc>
    <odxf>
      <fill>
        <patternFill>
          <bgColor rgb="FFFFFF00"/>
        </patternFill>
      </fill>
    </odxf>
    <ndxf>
      <fill>
        <patternFill>
          <bgColor theme="4" tint="0.79998168889431442"/>
        </patternFill>
      </fill>
    </ndxf>
  </rcc>
  <rcc rId="482" sId="16" odxf="1" dxf="1">
    <oc r="E25">
      <f>E26+E27</f>
    </oc>
    <nc r="E25">
      <f>E26+E27</f>
    </nc>
    <odxf>
      <fill>
        <patternFill>
          <bgColor rgb="FFFFFF00"/>
        </patternFill>
      </fill>
    </odxf>
    <ndxf>
      <fill>
        <patternFill>
          <bgColor theme="4" tint="0.79998168889431442"/>
        </patternFill>
      </fill>
    </ndxf>
  </rcc>
  <rcc rId="483" sId="16" numFmtId="4">
    <oc r="K26">
      <v>335.17500000000001</v>
    </oc>
    <nc r="K26">
      <v>335.17</v>
    </nc>
  </rcc>
  <rcc rId="484" sId="16">
    <oc r="AH27" t="inlineStr">
      <is>
        <t xml:space="preserve">Экономия средств в сумме 2179,91тыс.руб.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oc>
    <nc r="AH27" t="inlineStr">
      <is>
        <t xml:space="preserve">Экономия средств в сумме 1239,06тыс.руб.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nc>
  </rcc>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5"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ИТОГО: 630.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6"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7" sId="9" numFmtId="4">
    <oc r="AF22">
      <v>66305.25</v>
    </oc>
    <nc r="AF22">
      <v>56021.760000000002</v>
    </nc>
  </rcc>
  <rcc rId="488" sId="9" numFmtId="4">
    <oc r="AG22">
      <v>0</v>
    </oc>
    <nc r="AG22">
      <v>59520.09</v>
    </nc>
  </rcc>
  <rcc rId="489" sId="9" numFmtId="4">
    <oc r="AG15">
      <v>0</v>
    </oc>
    <nc r="AG15">
      <v>202926.88</v>
    </nc>
  </rcc>
  <rcc rId="490" sId="9" numFmtId="4">
    <oc r="AG16">
      <v>0</v>
    </oc>
    <nc r="AG16">
      <v>10680.36</v>
    </nc>
  </rcc>
  <rcc rId="491" sId="9" numFmtId="4">
    <oc r="AF11">
      <v>85353.03</v>
    </oc>
    <nc r="AF11">
      <v>75068.990000000005</v>
    </nc>
  </rcc>
  <rcc rId="492" sId="9" numFmtId="4">
    <oc r="AG10">
      <f>AG15+AG19+AG29</f>
    </oc>
    <nc r="AG10">
      <v>31622.25</v>
    </nc>
  </rcc>
  <rcc rId="493" sId="9" numFmtId="4">
    <oc r="AG11">
      <f>AG16+AG20+AG22+AG25+AG30</f>
    </oc>
    <nc r="AG11">
      <v>67425.72</v>
    </nc>
  </rcc>
  <rcc rId="494" sId="9">
    <nc r="AH25" t="inlineStr">
      <is>
        <t>1. По состоянию на 01.01.2026 оказание дополнительной помощи не понадобилось в связи отсутствием неотложной необходимости в проведении капитального ремонта общего имущества в многоквартирном доме"</t>
      </is>
    </nc>
  </rcc>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5" sId="9">
    <oc r="AH15" t="inlineStr">
      <is>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is>
    </oc>
    <nc r="AH15" t="inlineStr">
      <is>
        <t>На отчетную дату ведется исполнение следующих контрактов:
1. Проектно-изыскательские работы:
1.1. Контракт № 1229-23 от 29.12.2023 (функции заказчика переданы 02.02.2024г.) на выполнение проектно изыскательских работ для строительства объекта: "Котельная по улице Сибирская и магистральные сети теплоснабжения в городе Когалыме"
-срок выполнения работ 30.12.2024 г.;
-цена контракта 21 791,34 тыс.руб.
-работы выполнены и оплачены в полном объеме.
2. Строительно-монтажные работы:
2.1. Муниципальный контракт № 0187200001725000495 от 11.06.2025 на выполнение работ по строительству объекта "Котельная по улице Сибирская и магистральные инженерные сети теплоснабжения в городе Когалыме":
- цена контракта - 942 479,21472 рублей;
- сроки выполнения работ - 30.07.2026
- подрядная организация - ООО "АТОМСТРОЙПРОЕКТ" (г. Москва).
3. Прочие работы:
3.1. Договор №ТП/ЮЛ/2024-5 от 05.08.2024 г. на выполнение работ по осуществлению технологического присоединения к сети газораспределения объекта "Котельная по улице Сибирской и магистральные тепловые сети в городе Когалыме".
- срок выполнения работ 23.08.2026;
- цена договора 22,79 тыс.руб.;
- ведется выполнение работ.
3.2. Договор №70/2025 от 11.09..2025 г. на оказание услуг по авторскому надзору за строительством объекта "Котельная по улице Сибирская и магистральные инженерные сети теплоснабжения в городе Когалыме".
- срок выполнения работ 30.07.2026;
- цена договора 599,00 тыс.руб.;
- ведется выполнение работ.</t>
      </is>
    </nc>
  </rcc>
  <rcc rId="496" sId="9">
    <nc r="AH22" t="inlineStr">
      <is>
        <t>1. Муниципальный контракт №25/2025 от 29.05.2025
- цена контракта - 125,00 тыс. руб.:
- срок окончания выполнения работ 01.09.2025;
- исполнитель - ООО "ЭФФЕКТИВНЫЕ ИНФРАСТРУКТУРНЫЕ ПРОЕКТЫ"
- контракт исполнен и оплачен в полном объеме</t>
      </is>
    </nc>
  </rcc>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7"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8"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Всего -  210.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7" sId="4" numFmtId="4">
    <oc r="R41">
      <v>8132.7889999999998</v>
    </oc>
    <nc r="R41">
      <v>8120.44</v>
    </nc>
  </rcc>
  <rcc rId="78" sId="4" numFmtId="4">
    <oc r="T41">
      <v>7864.5</v>
    </oc>
    <nc r="T41">
      <v>7840</v>
    </nc>
  </rcc>
  <rcc rId="79" sId="4" numFmtId="4">
    <oc r="V41">
      <v>7835.9</v>
    </oc>
    <nc r="V41">
      <v>7811.4</v>
    </nc>
  </rcc>
  <rcc rId="80" sId="4" numFmtId="4">
    <oc r="X41">
      <v>6665</v>
    </oc>
    <nc r="X41">
      <v>6640.5</v>
    </nc>
  </rcc>
  <rcc rId="81" sId="4" numFmtId="4">
    <oc r="AE41">
      <v>0</v>
    </oc>
    <nc r="AE41">
      <v>5499.87</v>
    </nc>
  </rcc>
  <rcc rId="82" sId="4" numFmtId="4">
    <oc r="AF41">
      <v>9041.51</v>
    </oc>
    <nc r="AF41">
      <v>9464.93</v>
    </nc>
  </rcc>
  <rcc rId="83" sId="4" numFmtId="4">
    <oc r="AG41">
      <v>0</v>
    </oc>
    <nc r="AG41">
      <v>12623.51</v>
    </nc>
  </rcc>
  <rcc rId="84" sId="4">
    <oc r="E42">
      <f>J42+L42+N42+P42+R42+T42+V42+X42+Z42+AB42</f>
    </oc>
    <nc r="E42">
      <f>J42+L42+N42+P42+R42+T42+V42+X42+Z42+AB42+AD42+AF42</f>
    </nc>
  </rcc>
  <rcc rId="85" sId="4" numFmtId="4">
    <oc r="AC42">
      <v>0</v>
    </oc>
    <nc r="AC42">
      <v>0.88</v>
    </nc>
  </rcc>
  <rcc rId="86" sId="4" numFmtId="4">
    <oc r="AE42">
      <v>0</v>
    </oc>
    <nc r="AE42">
      <v>1.05</v>
    </nc>
  </rcc>
  <rcc rId="87" sId="4" numFmtId="4">
    <oc r="AF42">
      <v>0.56999999999999995</v>
    </oc>
    <nc r="AF42">
      <v>49.84</v>
    </nc>
  </rcc>
  <rcc rId="88" sId="4" numFmtId="4">
    <oc r="AG42">
      <v>0</v>
    </oc>
    <nc r="AG42">
      <v>12.56</v>
    </nc>
  </rcc>
  <rcc rId="89" sId="4">
    <oc r="E41">
      <f>J41+L41+N41+P41+R41+T41+V41+X41+Z41+AB41</f>
    </oc>
    <nc r="E41">
      <f>J41+L41+N41+P41+R41+T41+V41+X41+Z41+AB41+AD41+AF41</f>
    </nc>
  </rcc>
  <rcc rId="90" sId="4">
    <oc r="E39">
      <f>J39</f>
    </oc>
    <nc r="E39">
      <f>J39+L39+N39+P39+R39+T39+V39+X39+Z39+AB39+AD39+AF39</f>
    </nc>
  </rcc>
  <rcc rId="91" sId="4">
    <oc r="E38">
      <f>J38</f>
    </oc>
    <nc r="E38">
      <f>J38+L38+N38+P38+R38+T38+V38+X38+Z38+AB38+AD38+AF38</f>
    </nc>
  </rcc>
  <rcc rId="92" sId="4">
    <oc r="E10">
      <f>J10+L10+N10+P10+R10+T10+V10+X10+Z10+AB10</f>
    </oc>
    <nc r="E10">
      <f>J10+L10+N10+P10+R10+T10+V10+X10+Z10+AB10+AD10+AF10</f>
    </nc>
  </rcc>
  <rcc rId="93" sId="4">
    <oc r="E12">
      <f>J12+L12+N12+P12+R12+T12+V12+X12+Z12+AB12</f>
    </oc>
    <nc r="E12">
      <f>J12+L12+N12+P12+R12+T12+V12+X12+Z12+AB12+AD12+AF12</f>
    </nc>
  </rcc>
  <rcc rId="94" sId="4">
    <oc r="E11">
      <f>J11+L11+N11+P11+R11+T11+V11+X11+Z11+AB11</f>
    </oc>
    <nc r="E11">
      <f>J11+L11+N11+P11+R11+T11+V11+X11+Z11+AB11+AD11+AF11</f>
    </nc>
  </rcc>
  <rcc rId="95" sId="4" numFmtId="4">
    <oc r="AG46">
      <v>0</v>
    </oc>
    <nc r="AG46">
      <v>28.18</v>
    </nc>
  </rcc>
  <rfmt sheetId="4" sqref="P76">
    <dxf>
      <fill>
        <patternFill patternType="solid">
          <bgColor rgb="FFFFFF00"/>
        </patternFill>
      </fill>
    </dxf>
  </rfmt>
  <rcc rId="96" sId="4" numFmtId="4">
    <oc r="P76">
      <v>7715.94</v>
    </oc>
    <nc r="P76">
      <v>7552.74</v>
    </nc>
  </rcc>
  <rfmt sheetId="4" sqref="P76">
    <dxf>
      <fill>
        <patternFill patternType="none">
          <bgColor auto="1"/>
        </patternFill>
      </fill>
    </dxf>
  </rfmt>
  <rcc rId="97" sId="4" numFmtId="4">
    <oc r="AA76">
      <v>0</v>
    </oc>
    <nc r="AA76">
      <v>-352</v>
    </nc>
  </rcc>
  <rcc rId="98" sId="4" numFmtId="4">
    <oc r="AC76">
      <v>0</v>
    </oc>
    <nc r="AC76">
      <v>127.572</v>
    </nc>
  </rcc>
  <rcc rId="99" sId="4" numFmtId="4">
    <oc r="AE76">
      <v>0</v>
    </oc>
    <nc r="AE76">
      <v>7454.94</v>
    </nc>
  </rcc>
  <rcc rId="100" sId="4" numFmtId="4">
    <oc r="AF76">
      <v>128.69999999999999</v>
    </oc>
    <nc r="AF76">
      <v>9867.5</v>
    </nc>
  </rcc>
  <rcc rId="101" sId="4" numFmtId="4">
    <oc r="AG76">
      <v>0</v>
    </oc>
    <nc r="AG76">
      <v>11428.97</v>
    </nc>
  </rcc>
  <rcc rId="102" sId="4" numFmtId="4">
    <oc r="AD75">
      <v>0</v>
    </oc>
    <nc r="AD75">
      <v>163.19999999999999</v>
    </nc>
  </rcc>
  <rcc rId="103" sId="4" numFmtId="4">
    <oc r="AF75">
      <v>0</v>
    </oc>
    <nc r="AF75">
      <v>481.7</v>
    </nc>
  </rcc>
  <rcc rId="104" sId="4" numFmtId="4">
    <oc r="AG75">
      <v>0</v>
    </oc>
    <nc r="AG75">
      <v>644.9</v>
    </nc>
  </rcc>
  <rcc rId="105" sId="4">
    <oc r="E75">
      <f>J75+L75+N75+P75+R75+T75+V75+X75+Z75+AB75</f>
    </oc>
    <nc r="E75">
      <f>J75+L75+N75+P75+R75+T75+V75+X75+Z75+AB75+AD75+AF75</f>
    </nc>
  </rcc>
  <rcc rId="106" sId="4">
    <oc r="E76">
      <f>J76+L76+N76+P76+R76+T76+V76+X76+Z76+AB76</f>
    </oc>
    <nc r="E76">
      <f>J76+L76+N76+P76+R76+T76+V76+X76+Z76+AB76+AD76+AF76</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«Урок вежливости» для мигрантов прошел 17.12.2025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Декабрь : проведено 1 индивидуальное занятия по РКИ (русский как иностран-ный) и одно групповое занятие для взрослых. За отчетный период про-ведено 9 групповых и 22 индивидуальных занятия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01" sId="18">
    <oc r="AH25" t="inlineStr">
      <is>
        <t>Благодарности, ручки, флаги, грамоты-СОШ №10, СОШ №5</t>
      </is>
    </oc>
    <nc r="AH25" t="inlineStr">
      <is>
        <t>Благодарности, ручки, флаги, грамоты-СОШ №10-5,0;приобретение национальных кукол (набор), благодарностей- СОШ № 6; СОШ №5-приобретение бепроводной колонки. СОШ №7-полиграфическая печатная продукция. СОШ№8-приобретение грамот, благодарностей, канцелярских товаров. СОШ №1-Флипчарт, пленка для ламинирования, планшет канцелярский. СОШ №3-приобретение грамот, планшеты с зажимом.</t>
      </is>
    </nc>
  </rcc>
  <rcv guid="{133BB3F8-8DD4-4AEF-8CD6-A5FB14681329}" action="delete"/>
  <rdn rId="0" localSheetId="1" customView="1" name="Z_133BB3F8_8DD4_4AEF_8CD6_A5FB14681329_.wvu.Rows" hidden="1" oldHidden="1">
    <formula>'1. РО'!$28:$28,'1. РО'!$32:$32,'1. РО'!$52:$52,'1. РО'!$61:$61,'1. РО'!$73:$73,'1. РО'!$77:$77</formula>
    <oldFormula>'1. РО'!$28:$28,'1. РО'!$32:$32,'1. РО'!$52:$52,'1. РО'!$61:$61,'1. РО'!$73:$73,'1. РО'!$77:$77</oldFormula>
  </rdn>
  <rdn rId="0" localSheetId="4" customView="1" name="Z_133BB3F8_8DD4_4AEF_8CD6_A5FB14681329_.wvu.Rows" hidden="1" oldHidden="1">
    <formula>'4. КП'!$23:$23,'4. КП'!$27:$27,'4. КП'!$68:$68,'4. КП'!$75:$75,'4. КП'!$83:$83,'4. КП'!$87:$88,'4. КП'!$91:$91,'4. КП'!$93:$93</formula>
    <oldFormula>'4. КП'!$23:$23,'4. КП'!$27:$27,'4. КП'!$68:$68,'4. КП'!$75:$75,'4. КП'!$83:$83,'4. КП'!$87:$88,'4. КП'!$91:$91,'4. КП'!$93:$93</oldFormula>
  </rdn>
  <rdn rId="0" localSheetId="5" customView="1" name="Z_133BB3F8_8DD4_4AEF_8CD6_A5FB1468132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133BB3F8_8DD4_4AEF_8CD6_A5FB14681329_.wvu.Rows" hidden="1" oldHidden="1">
    <formula>'6. СЗН'!$9:$9,'6. СЗН'!$14:$14,'6. СЗН'!$18:$18,'6. СЗН'!$22:$22,'6. СЗН'!$26:$26,'6. СЗН'!$30:$31,'6. СЗН'!$34:$34,'6. СЗН'!$36:$36,'6. СЗН'!$39:$39,'6. СЗН'!$43:$43,'6. СЗН'!$47:$48</formula>
    <oldFormula>'6. СЗН'!$9:$9,'6. СЗН'!$14:$14,'6. СЗН'!$18:$18,'6. СЗН'!$22:$22,'6. СЗН'!$26:$26,'6. СЗН'!$30:$31,'6. СЗН'!$34:$34,'6. СЗН'!$36:$36,'6. СЗН'!$39:$39,'6. СЗН'!$43:$43,'6. СЗН'!$47:$48</oldFormula>
  </rdn>
  <rdn rId="0" localSheetId="9" customView="1" name="Z_133BB3F8_8DD4_4AEF_8CD6_A5FB14681329_.wvu.Rows" hidden="1" oldHidden="1">
    <formula>'9. РЖКК'!$14:$14,'9. РЖКК'!$28:$28</formula>
    <oldFormula>'9. РЖКК'!$14:$14,'9. РЖКК'!$28:$28</oldFormula>
  </rdn>
  <rdn rId="0" localSheetId="14" customView="1" name="Z_133BB3F8_8DD4_4AEF_8CD6_A5FB14681329_.wvu.Rows" hidden="1" oldHidden="1">
    <formula>'14. РТС'!$14:$15,'14. РТС'!$19:$19,'14. РТС'!$30:$30,'14. РТС'!$33:$33,'14. РТС'!$36:$36,'14. РТС'!$43:$43</formula>
    <oldFormula>'14. РТС'!$14:$15,'14. РТС'!$19:$19,'14. РТС'!$30:$30,'14. РТС'!$33:$33,'14. РТС'!$36:$36,'14. РТС'!$43:$43</oldFormula>
  </rdn>
  <rdn rId="0" localSheetId="17" customView="1" name="Z_133BB3F8_8DD4_4AEF_8CD6_A5FB14681329_.wvu.PrintTitles" hidden="1" oldHidden="1">
    <formula>'17. УМИ'!$4:$7</formula>
  </rdn>
  <rdn rId="0" localSheetId="20" customView="1" name="Z_133BB3F8_8DD4_4AEF_8CD6_A5FB14681329_.wvu.Rows" hidden="1" oldHidden="1">
    <formula>'20. МСП'!$19:$19</formula>
    <oldFormula>'20. МСП'!$19:$19</oldFormula>
  </rdn>
  <rcv guid="{133BB3F8-8DD4-4AEF-8CD6-A5FB14681329}" action="add"/>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0" sId="18">
    <oc r="AE9">
      <f>AE12+AE21+AE30</f>
    </oc>
    <nc r="AE9">
      <f>AE12+AE21+AE30</f>
    </nc>
  </rcc>
  <rcc rId="511" sId="18">
    <oc r="G9">
      <f>K9+M9+O9+Q9+S9+U9+W9+Y9+AA9+AC9+AE9+AG9</f>
    </oc>
    <nc r="G9">
      <f>K9+M9+O9+Q9+S9+U9+W9+Y9+AA9+AC9+AE9+AG9</f>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6" sId="3" numFmtId="19">
    <oc r="E6">
      <v>45992</v>
    </oc>
    <nc r="E6">
      <v>46023</v>
    </nc>
  </rcc>
  <rcc rId="117" sId="3" numFmtId="19">
    <oc r="F6">
      <v>45992</v>
    </oc>
    <nc r="F6">
      <v>46023</v>
    </nc>
  </rcc>
  <rcc rId="118" sId="3" numFmtId="19">
    <oc r="G6">
      <v>45992</v>
    </oc>
    <nc r="G6">
      <v>46023</v>
    </nc>
  </rcc>
  <rcc rId="119" sId="3">
    <oc r="E9">
      <f>J9+L9+N9+P9+R9+T9+V9+X9+Z9+AB9+AD9</f>
    </oc>
    <nc r="E9">
      <f>J9+L9+N9+P9+R9+T9+V9+X9+Z9+AB9+AD9+AF9</f>
    </nc>
  </rcc>
  <rcc rId="120" sId="3">
    <oc r="E10">
      <f>J10+L10+N10+P10+R10+T10+V10+X10+Z10+AB10+AD10</f>
    </oc>
    <nc r="E10">
      <f>J10+L10+N10+P10+R10+T10+V10+X10+Z10+AB10+AD10+AF10</f>
    </nc>
  </rcc>
  <rcc rId="121" sId="3">
    <oc r="E11">
      <f>J11+L11+N11+P11+R11+T11+V11+X11+Z11+AB11+AD11</f>
    </oc>
    <nc r="E11">
      <f>J11+L11+N11+P11+R11+T11+V11+X11+Z11+AB11+AD11+AF11</f>
    </nc>
  </rcc>
  <rcc rId="122" sId="3">
    <oc r="E14">
      <f>J14+L14+N14+P14+R14+T14+V14+X14+Z14+AB14+AD14</f>
    </oc>
    <nc r="E14">
      <f>J14+L14+N14+P14+R14+T14+V14+X14+Z14+AB14+AD14+AF14</f>
    </nc>
  </rcc>
  <rcc rId="123" sId="3">
    <oc r="E19">
      <f>J19+L19+N19+P19+R19+T19+V19+X19+Z19+AB19+AD19</f>
    </oc>
    <nc r="E19">
      <f>J19+L19+N19+P19+R19+T19+V19+X19+Z19+AB19+AD19+AF19</f>
    </nc>
  </rcc>
  <rcc rId="124" sId="3">
    <oc r="E15">
      <f>J15+L15+N15+P15+R15+T15+V15+X15+Z15+AB15+AD15</f>
    </oc>
    <nc r="E15">
      <f>J15+L15+N15+P15+R15+T15+V15+X15+Z15+AB15+AD15+AF15</f>
    </nc>
  </rcc>
  <rcc rId="125" sId="3">
    <oc r="E16">
      <f>J16+L16+N16+P16+R16+T16+V16+X16+Z16+AB16+AD16</f>
    </oc>
    <nc r="E16">
      <f>J16+L16+N16+P16+R16+T16+V16+X16+Z16+AB16+AD16+AF16</f>
    </nc>
  </rcc>
  <rcc rId="126" sId="3">
    <oc r="E18">
      <f>J18+L18+N18+P18+R18+T18+V18+X18+Z18+AB18+AD18</f>
    </oc>
    <nc r="E18">
      <f>J18+L18+N18+P18+R18+T18+V18+X18+Z18+AB18+AD18+AF18</f>
    </nc>
  </rcc>
  <rcc rId="127" sId="3">
    <oc r="E21">
      <f>J21+L21+N21+P21+R21+T21+V21+X21+Z21+AB21+AD21</f>
    </oc>
    <nc r="E21">
      <f>J21+L21+N21+P21+R21+T21+V21+X21+Z21+AB21+AD21+AF21</f>
    </nc>
  </rcc>
  <rcc rId="128" sId="3">
    <oc r="E23">
      <f>J23+L23+N23+P23+R23+T23+V23+X23+Z23+AB23+AD23</f>
    </oc>
    <nc r="E23">
      <f>J23+L23+N23+P23+R23+T23+V23+X23+Z23+AB23+AD23+AF23</f>
    </nc>
  </rcc>
  <rcc rId="129" sId="3" numFmtId="4">
    <oc r="AG18">
      <v>0</v>
    </oc>
    <nc r="AG18">
      <v>501.13</v>
    </nc>
  </rcc>
  <rcc rId="130" sId="3" numFmtId="4">
    <oc r="AF19">
      <v>0</v>
    </oc>
    <nc r="AF19">
      <v>3078.4</v>
    </nc>
  </rcc>
  <rcc rId="131" sId="3" numFmtId="4">
    <oc r="AG19">
      <v>0</v>
    </oc>
    <nc r="AG19">
      <v>4886.08</v>
    </nc>
  </rcc>
  <rcc rId="132" sId="3" numFmtId="4">
    <oc r="V21">
      <v>1574</v>
    </oc>
    <nc r="V21">
      <v>976</v>
    </nc>
  </rcc>
  <rcc rId="133" sId="3" numFmtId="4">
    <oc r="X21">
      <v>5702.16</v>
    </oc>
    <nc r="X21">
      <v>5498.95</v>
    </nc>
  </rcc>
  <rcc rId="134" sId="3" numFmtId="4">
    <oc r="AB21">
      <v>13864.95</v>
    </oc>
    <nc r="AB21">
      <v>11478.56</v>
    </nc>
  </rcc>
  <rcc rId="135" sId="3" numFmtId="4">
    <oc r="AD21">
      <v>509.8</v>
    </oc>
    <nc r="AD21">
      <v>0</v>
    </nc>
  </rcc>
  <rcc rId="136" sId="3" numFmtId="4">
    <oc r="AG21">
      <v>0</v>
    </oc>
    <nc r="AG21">
      <v>2296.88</v>
    </nc>
  </rcc>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5" sId="16" numFmtId="4">
    <oc r="AG14">
      <f>AG15</f>
    </oc>
    <nc r="AG14">
      <v>1000</v>
    </nc>
  </rcc>
  <rcc rId="146" sId="16" numFmtId="4">
    <oc r="AG15">
      <v>0</v>
    </oc>
    <nc r="AG15">
      <v>1000</v>
    </nc>
  </rcc>
  <rcc rId="147" sId="16" numFmtId="4">
    <oc r="AG19">
      <v>0</v>
    </oc>
    <nc r="AG19">
      <v>300</v>
    </nc>
  </rcc>
  <rcc rId="148" sId="16">
    <oc r="AH18" t="inlineStr">
      <is>
        <t>В отчетном периоде конкурс не проводился</t>
      </is>
    </oc>
    <nc r="AH18"/>
  </rcc>
  <rcc rId="149" sId="16" numFmtId="4">
    <oc r="AG33">
      <v>0</v>
    </oc>
    <nc r="AG33">
      <v>-406.64</v>
    </nc>
  </rcc>
  <rcc rId="150" sId="16">
    <oc r="E33">
      <f>J33+L33+N33+P33+R33+T33+V33+X33+Z33+AB33</f>
    </oc>
    <nc r="E33">
      <f>J33+L33+N33+P33+R33+T33+V33+X33+Z33+AB33+AD33+AF33</f>
    </nc>
  </rcc>
  <rcc rId="151" sId="16">
    <oc r="E41">
      <f>J41+L41+N41+P41+R41+T41+V41+X41+Z41+AB41+AD41</f>
    </oc>
    <nc r="E41">
      <f>J41+L41+N41+P41+R41+T41+V41+X41+Z41+AB41+AD41+AF41</f>
    </nc>
  </rcc>
  <rm rId="152" sheetId="16" source="AG40" destination="AG37" sourceSheetId="16">
    <undo index="0" exp="ref" v="1" dr="AG37" r="AG35" sId="16"/>
    <undo index="0" exp="ref" v="1" dr="AG37" r="AG36" sId="16"/>
    <undo index="11" exp="ref" dr="AG37" r="G37" sId="16"/>
    <rcc rId="0" sId="16" s="1" dxf="1" numFmtId="4">
      <nc r="AG37">
        <v>0</v>
      </nc>
      <ndxf>
        <font>
          <sz val="12"/>
          <color theme="1"/>
          <name val="Times New Roman"/>
          <scheme val="none"/>
        </font>
        <numFmt numFmtId="166" formatCode="#,##0.00_ ;[Red]\-#,##0.00\ "/>
        <alignment horizontal="center" vertical="center" readingOrder="0"/>
        <border outline="0">
          <left style="thin">
            <color indexed="64"/>
          </left>
          <right style="thin">
            <color indexed="64"/>
          </right>
          <top style="thin">
            <color indexed="64"/>
          </top>
          <bottom style="thin">
            <color indexed="64"/>
          </bottom>
        </border>
        <protection locked="0"/>
      </ndxf>
    </rcc>
  </rm>
  <rcc rId="153" sId="16">
    <oc r="AG36">
      <f>#REF!</f>
    </oc>
    <nc r="AG36">
      <f>AG37</f>
    </nc>
  </rcc>
  <rcc rId="154" sId="16">
    <oc r="AG35">
      <f>#REF!+AG39+AG41+AG43</f>
    </oc>
    <nc r="AG35">
      <f>AG37+AG39+AG41+AG43</f>
    </nc>
  </rcc>
  <rcc rId="155" sId="16" numFmtId="4">
    <oc r="AG41">
      <v>0</v>
    </oc>
    <nc r="AG41"/>
  </rcc>
  <rcc rId="156" sId="16" numFmtId="4">
    <oc r="AG37">
      <f>AG41</f>
    </oc>
    <nc r="AG37">
      <v>-97.8</v>
    </nc>
  </rcc>
  <rcc rId="157" sId="16">
    <oc r="E37">
      <f>J37+L37+N37+P37+R37+T37+V37+X37+Z37+AB37+AD37</f>
    </oc>
    <nc r="E37">
      <f>J37+L37+N37+P37+R37+T37+V37+X37+Z37+AB37+AD37+AF37</f>
    </nc>
  </rcc>
  <rcc rId="158" sId="16">
    <oc r="G37">
      <f>SUM(K37,M37,O37,Q37,S37,U37,W37,Y37,AA37,AC37,AE37,#REF!)</f>
    </oc>
    <nc r="G37">
      <f>K37+M37+O37+Q37+S37+U37+W37+Y37+AA37+AC37+AE37+AG37</f>
    </nc>
  </rcc>
  <rcc rId="159" sId="16">
    <oc r="F37">
      <f>G37</f>
    </oc>
    <nc r="F37">
      <f>G37</f>
    </nc>
  </rcc>
  <rcc rId="160" sId="16" numFmtId="4">
    <oc r="AE37">
      <v>354.4</v>
    </oc>
    <nc r="AE37">
      <v>234.4</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 sId="16" numFmtId="4">
    <oc r="AE36">
      <f>AE37</f>
    </oc>
    <nc r="AE36">
      <v>354.4</v>
    </nc>
  </rcc>
  <rcc rId="170" sId="16" numFmtId="4">
    <oc r="AE37">
      <v>234.4</v>
    </oc>
    <nc r="AE37">
      <v>354.4</v>
    </nc>
  </rcc>
  <rcc rId="171" sId="16">
    <oc r="G37">
      <f>K37+M37+O37+Q37+S37+U37+W37+Y37+AA37+AC37+AE37+AG37</f>
    </oc>
    <nc r="G37">
      <f>K37+M37+O37+Q37+S37+U37+W37+Y37+AA37+AC37+AE37+AG37</f>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2" sId="16" numFmtId="4">
    <nc r="AG26">
      <v>144.67500000000001</v>
    </nc>
  </rcc>
  <rcc rId="173" sId="16">
    <oc r="E26">
      <f>J26+L26+N26+P26+R26+T26+V26+X26+Z26+AB26+AD26</f>
    </oc>
    <nc r="E26">
      <f>J26+L26+N26+P26+R26+T26+V26+X26+Z26+AB26+AD26+AF26</f>
    </nc>
  </rcc>
  <rcc rId="174" sId="16">
    <oc r="G26">
      <f>K26+M26+O26+Q26+S26+U26+W26+Y26+AA26+AA26</f>
    </oc>
    <nc r="G26">
      <f>K26+M26+O26+Q26+S26+U26+W26+Y26+AA26+AC26+AE26+AG26</f>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6.bin"/><Relationship Id="rId13" Type="http://schemas.openxmlformats.org/officeDocument/2006/relationships/printerSettings" Target="../printerSettings/printerSettings221.bin"/><Relationship Id="rId18" Type="http://schemas.openxmlformats.org/officeDocument/2006/relationships/printerSettings" Target="../printerSettings/printerSettings226.bin"/><Relationship Id="rId26" Type="http://schemas.openxmlformats.org/officeDocument/2006/relationships/printerSettings" Target="../printerSettings/printerSettings234.bin"/><Relationship Id="rId3" Type="http://schemas.openxmlformats.org/officeDocument/2006/relationships/printerSettings" Target="../printerSettings/printerSettings211.bin"/><Relationship Id="rId21" Type="http://schemas.openxmlformats.org/officeDocument/2006/relationships/printerSettings" Target="../printerSettings/printerSettings229.bin"/><Relationship Id="rId7" Type="http://schemas.openxmlformats.org/officeDocument/2006/relationships/printerSettings" Target="../printerSettings/printerSettings215.bin"/><Relationship Id="rId12" Type="http://schemas.openxmlformats.org/officeDocument/2006/relationships/printerSettings" Target="../printerSettings/printerSettings220.bin"/><Relationship Id="rId17" Type="http://schemas.openxmlformats.org/officeDocument/2006/relationships/printerSettings" Target="../printerSettings/printerSettings225.bin"/><Relationship Id="rId25" Type="http://schemas.openxmlformats.org/officeDocument/2006/relationships/printerSettings" Target="../printerSettings/printerSettings233.bin"/><Relationship Id="rId2" Type="http://schemas.openxmlformats.org/officeDocument/2006/relationships/printerSettings" Target="../printerSettings/printerSettings210.bin"/><Relationship Id="rId16" Type="http://schemas.openxmlformats.org/officeDocument/2006/relationships/printerSettings" Target="../printerSettings/printerSettings224.bin"/><Relationship Id="rId20" Type="http://schemas.openxmlformats.org/officeDocument/2006/relationships/printerSettings" Target="../printerSettings/printerSettings228.bin"/><Relationship Id="rId29" Type="http://schemas.openxmlformats.org/officeDocument/2006/relationships/printerSettings" Target="../printerSettings/printerSettings237.bin"/><Relationship Id="rId1" Type="http://schemas.openxmlformats.org/officeDocument/2006/relationships/printerSettings" Target="../printerSettings/printerSettings209.bin"/><Relationship Id="rId6" Type="http://schemas.openxmlformats.org/officeDocument/2006/relationships/printerSettings" Target="../printerSettings/printerSettings214.bin"/><Relationship Id="rId11" Type="http://schemas.openxmlformats.org/officeDocument/2006/relationships/printerSettings" Target="../printerSettings/printerSettings219.bin"/><Relationship Id="rId24" Type="http://schemas.openxmlformats.org/officeDocument/2006/relationships/printerSettings" Target="../printerSettings/printerSettings232.bin"/><Relationship Id="rId5" Type="http://schemas.openxmlformats.org/officeDocument/2006/relationships/printerSettings" Target="../printerSettings/printerSettings213.bin"/><Relationship Id="rId15" Type="http://schemas.openxmlformats.org/officeDocument/2006/relationships/printerSettings" Target="../printerSettings/printerSettings223.bin"/><Relationship Id="rId23" Type="http://schemas.openxmlformats.org/officeDocument/2006/relationships/printerSettings" Target="../printerSettings/printerSettings231.bin"/><Relationship Id="rId28" Type="http://schemas.openxmlformats.org/officeDocument/2006/relationships/printerSettings" Target="../printerSettings/printerSettings236.bin"/><Relationship Id="rId10" Type="http://schemas.openxmlformats.org/officeDocument/2006/relationships/printerSettings" Target="../printerSettings/printerSettings218.bin"/><Relationship Id="rId19" Type="http://schemas.openxmlformats.org/officeDocument/2006/relationships/printerSettings" Target="../printerSettings/printerSettings227.bin"/><Relationship Id="rId4" Type="http://schemas.openxmlformats.org/officeDocument/2006/relationships/printerSettings" Target="../printerSettings/printerSettings212.bin"/><Relationship Id="rId9" Type="http://schemas.openxmlformats.org/officeDocument/2006/relationships/printerSettings" Target="../printerSettings/printerSettings217.bin"/><Relationship Id="rId14" Type="http://schemas.openxmlformats.org/officeDocument/2006/relationships/printerSettings" Target="../printerSettings/printerSettings222.bin"/><Relationship Id="rId22" Type="http://schemas.openxmlformats.org/officeDocument/2006/relationships/printerSettings" Target="../printerSettings/printerSettings230.bin"/><Relationship Id="rId27" Type="http://schemas.openxmlformats.org/officeDocument/2006/relationships/printerSettings" Target="../printerSettings/printerSettings235.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5.bin"/><Relationship Id="rId13" Type="http://schemas.openxmlformats.org/officeDocument/2006/relationships/printerSettings" Target="../printerSettings/printerSettings250.bin"/><Relationship Id="rId18" Type="http://schemas.openxmlformats.org/officeDocument/2006/relationships/printerSettings" Target="../printerSettings/printerSettings255.bin"/><Relationship Id="rId26" Type="http://schemas.openxmlformats.org/officeDocument/2006/relationships/printerSettings" Target="../printerSettings/printerSettings263.bin"/><Relationship Id="rId3" Type="http://schemas.openxmlformats.org/officeDocument/2006/relationships/printerSettings" Target="../printerSettings/printerSettings240.bin"/><Relationship Id="rId21" Type="http://schemas.openxmlformats.org/officeDocument/2006/relationships/printerSettings" Target="../printerSettings/printerSettings258.bin"/><Relationship Id="rId7" Type="http://schemas.openxmlformats.org/officeDocument/2006/relationships/printerSettings" Target="../printerSettings/printerSettings244.bin"/><Relationship Id="rId12" Type="http://schemas.openxmlformats.org/officeDocument/2006/relationships/printerSettings" Target="../printerSettings/printerSettings249.bin"/><Relationship Id="rId17" Type="http://schemas.openxmlformats.org/officeDocument/2006/relationships/printerSettings" Target="../printerSettings/printerSettings254.bin"/><Relationship Id="rId25" Type="http://schemas.openxmlformats.org/officeDocument/2006/relationships/printerSettings" Target="../printerSettings/printerSettings262.bin"/><Relationship Id="rId2" Type="http://schemas.openxmlformats.org/officeDocument/2006/relationships/printerSettings" Target="../printerSettings/printerSettings239.bin"/><Relationship Id="rId16" Type="http://schemas.openxmlformats.org/officeDocument/2006/relationships/printerSettings" Target="../printerSettings/printerSettings253.bin"/><Relationship Id="rId20" Type="http://schemas.openxmlformats.org/officeDocument/2006/relationships/printerSettings" Target="../printerSettings/printerSettings257.bin"/><Relationship Id="rId29" Type="http://schemas.openxmlformats.org/officeDocument/2006/relationships/printerSettings" Target="../printerSettings/printerSettings266.bin"/><Relationship Id="rId1" Type="http://schemas.openxmlformats.org/officeDocument/2006/relationships/printerSettings" Target="../printerSettings/printerSettings238.bin"/><Relationship Id="rId6" Type="http://schemas.openxmlformats.org/officeDocument/2006/relationships/printerSettings" Target="../printerSettings/printerSettings243.bin"/><Relationship Id="rId11" Type="http://schemas.openxmlformats.org/officeDocument/2006/relationships/printerSettings" Target="../printerSettings/printerSettings248.bin"/><Relationship Id="rId24" Type="http://schemas.openxmlformats.org/officeDocument/2006/relationships/printerSettings" Target="../printerSettings/printerSettings261.bin"/><Relationship Id="rId5" Type="http://schemas.openxmlformats.org/officeDocument/2006/relationships/printerSettings" Target="../printerSettings/printerSettings242.bin"/><Relationship Id="rId15" Type="http://schemas.openxmlformats.org/officeDocument/2006/relationships/printerSettings" Target="../printerSettings/printerSettings252.bin"/><Relationship Id="rId23" Type="http://schemas.openxmlformats.org/officeDocument/2006/relationships/printerSettings" Target="../printerSettings/printerSettings260.bin"/><Relationship Id="rId28" Type="http://schemas.openxmlformats.org/officeDocument/2006/relationships/printerSettings" Target="../printerSettings/printerSettings265.bin"/><Relationship Id="rId10" Type="http://schemas.openxmlformats.org/officeDocument/2006/relationships/printerSettings" Target="../printerSettings/printerSettings247.bin"/><Relationship Id="rId19" Type="http://schemas.openxmlformats.org/officeDocument/2006/relationships/printerSettings" Target="../printerSettings/printerSettings256.bin"/><Relationship Id="rId4" Type="http://schemas.openxmlformats.org/officeDocument/2006/relationships/printerSettings" Target="../printerSettings/printerSettings241.bin"/><Relationship Id="rId9" Type="http://schemas.openxmlformats.org/officeDocument/2006/relationships/printerSettings" Target="../printerSettings/printerSettings246.bin"/><Relationship Id="rId14" Type="http://schemas.openxmlformats.org/officeDocument/2006/relationships/printerSettings" Target="../printerSettings/printerSettings251.bin"/><Relationship Id="rId22" Type="http://schemas.openxmlformats.org/officeDocument/2006/relationships/printerSettings" Target="../printerSettings/printerSettings259.bin"/><Relationship Id="rId27" Type="http://schemas.openxmlformats.org/officeDocument/2006/relationships/printerSettings" Target="../printerSettings/printerSettings264.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4.bin"/><Relationship Id="rId13" Type="http://schemas.openxmlformats.org/officeDocument/2006/relationships/printerSettings" Target="../printerSettings/printerSettings279.bin"/><Relationship Id="rId18" Type="http://schemas.openxmlformats.org/officeDocument/2006/relationships/printerSettings" Target="../printerSettings/printerSettings284.bin"/><Relationship Id="rId26" Type="http://schemas.openxmlformats.org/officeDocument/2006/relationships/printerSettings" Target="../printerSettings/printerSettings292.bin"/><Relationship Id="rId3" Type="http://schemas.openxmlformats.org/officeDocument/2006/relationships/printerSettings" Target="../printerSettings/printerSettings269.bin"/><Relationship Id="rId21" Type="http://schemas.openxmlformats.org/officeDocument/2006/relationships/printerSettings" Target="../printerSettings/printerSettings287.bin"/><Relationship Id="rId7" Type="http://schemas.openxmlformats.org/officeDocument/2006/relationships/printerSettings" Target="../printerSettings/printerSettings273.bin"/><Relationship Id="rId12" Type="http://schemas.openxmlformats.org/officeDocument/2006/relationships/printerSettings" Target="../printerSettings/printerSettings278.bin"/><Relationship Id="rId17" Type="http://schemas.openxmlformats.org/officeDocument/2006/relationships/printerSettings" Target="../printerSettings/printerSettings283.bin"/><Relationship Id="rId25" Type="http://schemas.openxmlformats.org/officeDocument/2006/relationships/printerSettings" Target="../printerSettings/printerSettings291.bin"/><Relationship Id="rId2" Type="http://schemas.openxmlformats.org/officeDocument/2006/relationships/printerSettings" Target="../printerSettings/printerSettings268.bin"/><Relationship Id="rId16" Type="http://schemas.openxmlformats.org/officeDocument/2006/relationships/printerSettings" Target="../printerSettings/printerSettings282.bin"/><Relationship Id="rId20" Type="http://schemas.openxmlformats.org/officeDocument/2006/relationships/printerSettings" Target="../printerSettings/printerSettings286.bin"/><Relationship Id="rId29" Type="http://schemas.openxmlformats.org/officeDocument/2006/relationships/printerSettings" Target="../printerSettings/printerSettings295.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11" Type="http://schemas.openxmlformats.org/officeDocument/2006/relationships/printerSettings" Target="../printerSettings/printerSettings277.bin"/><Relationship Id="rId24" Type="http://schemas.openxmlformats.org/officeDocument/2006/relationships/printerSettings" Target="../printerSettings/printerSettings290.bin"/><Relationship Id="rId5" Type="http://schemas.openxmlformats.org/officeDocument/2006/relationships/printerSettings" Target="../printerSettings/printerSettings271.bin"/><Relationship Id="rId15" Type="http://schemas.openxmlformats.org/officeDocument/2006/relationships/printerSettings" Target="../printerSettings/printerSettings281.bin"/><Relationship Id="rId23" Type="http://schemas.openxmlformats.org/officeDocument/2006/relationships/printerSettings" Target="../printerSettings/printerSettings289.bin"/><Relationship Id="rId28" Type="http://schemas.openxmlformats.org/officeDocument/2006/relationships/printerSettings" Target="../printerSettings/printerSettings294.bin"/><Relationship Id="rId10" Type="http://schemas.openxmlformats.org/officeDocument/2006/relationships/printerSettings" Target="../printerSettings/printerSettings276.bin"/><Relationship Id="rId19" Type="http://schemas.openxmlformats.org/officeDocument/2006/relationships/printerSettings" Target="../printerSettings/printerSettings285.bin"/><Relationship Id="rId31" Type="http://schemas.openxmlformats.org/officeDocument/2006/relationships/comments" Target="../comments2.xml"/><Relationship Id="rId4" Type="http://schemas.openxmlformats.org/officeDocument/2006/relationships/printerSettings" Target="../printerSettings/printerSettings270.bin"/><Relationship Id="rId9" Type="http://schemas.openxmlformats.org/officeDocument/2006/relationships/printerSettings" Target="../printerSettings/printerSettings275.bin"/><Relationship Id="rId14" Type="http://schemas.openxmlformats.org/officeDocument/2006/relationships/printerSettings" Target="../printerSettings/printerSettings280.bin"/><Relationship Id="rId22" Type="http://schemas.openxmlformats.org/officeDocument/2006/relationships/printerSettings" Target="../printerSettings/printerSettings288.bin"/><Relationship Id="rId27" Type="http://schemas.openxmlformats.org/officeDocument/2006/relationships/printerSettings" Target="../printerSettings/printerSettings293.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3.bin"/><Relationship Id="rId13" Type="http://schemas.openxmlformats.org/officeDocument/2006/relationships/printerSettings" Target="../printerSettings/printerSettings308.bin"/><Relationship Id="rId18" Type="http://schemas.openxmlformats.org/officeDocument/2006/relationships/printerSettings" Target="../printerSettings/printerSettings313.bin"/><Relationship Id="rId26" Type="http://schemas.openxmlformats.org/officeDocument/2006/relationships/printerSettings" Target="../printerSettings/printerSettings321.bin"/><Relationship Id="rId3" Type="http://schemas.openxmlformats.org/officeDocument/2006/relationships/printerSettings" Target="../printerSettings/printerSettings298.bin"/><Relationship Id="rId21" Type="http://schemas.openxmlformats.org/officeDocument/2006/relationships/printerSettings" Target="../printerSettings/printerSettings316.bin"/><Relationship Id="rId7" Type="http://schemas.openxmlformats.org/officeDocument/2006/relationships/printerSettings" Target="../printerSettings/printerSettings302.bin"/><Relationship Id="rId12" Type="http://schemas.openxmlformats.org/officeDocument/2006/relationships/printerSettings" Target="../printerSettings/printerSettings307.bin"/><Relationship Id="rId17" Type="http://schemas.openxmlformats.org/officeDocument/2006/relationships/printerSettings" Target="../printerSettings/printerSettings312.bin"/><Relationship Id="rId25" Type="http://schemas.openxmlformats.org/officeDocument/2006/relationships/printerSettings" Target="../printerSettings/printerSettings320.bin"/><Relationship Id="rId2" Type="http://schemas.openxmlformats.org/officeDocument/2006/relationships/printerSettings" Target="../printerSettings/printerSettings297.bin"/><Relationship Id="rId16" Type="http://schemas.openxmlformats.org/officeDocument/2006/relationships/printerSettings" Target="../printerSettings/printerSettings311.bin"/><Relationship Id="rId20" Type="http://schemas.openxmlformats.org/officeDocument/2006/relationships/printerSettings" Target="../printerSettings/printerSettings315.bin"/><Relationship Id="rId29" Type="http://schemas.openxmlformats.org/officeDocument/2006/relationships/printerSettings" Target="../printerSettings/printerSettings324.bin"/><Relationship Id="rId1" Type="http://schemas.openxmlformats.org/officeDocument/2006/relationships/printerSettings" Target="../printerSettings/printerSettings296.bin"/><Relationship Id="rId6" Type="http://schemas.openxmlformats.org/officeDocument/2006/relationships/printerSettings" Target="../printerSettings/printerSettings301.bin"/><Relationship Id="rId11" Type="http://schemas.openxmlformats.org/officeDocument/2006/relationships/printerSettings" Target="../printerSettings/printerSettings306.bin"/><Relationship Id="rId24" Type="http://schemas.openxmlformats.org/officeDocument/2006/relationships/printerSettings" Target="../printerSettings/printerSettings319.bin"/><Relationship Id="rId5" Type="http://schemas.openxmlformats.org/officeDocument/2006/relationships/printerSettings" Target="../printerSettings/printerSettings300.bin"/><Relationship Id="rId15" Type="http://schemas.openxmlformats.org/officeDocument/2006/relationships/printerSettings" Target="../printerSettings/printerSettings310.bin"/><Relationship Id="rId23" Type="http://schemas.openxmlformats.org/officeDocument/2006/relationships/printerSettings" Target="../printerSettings/printerSettings318.bin"/><Relationship Id="rId28" Type="http://schemas.openxmlformats.org/officeDocument/2006/relationships/printerSettings" Target="../printerSettings/printerSettings323.bin"/><Relationship Id="rId10" Type="http://schemas.openxmlformats.org/officeDocument/2006/relationships/printerSettings" Target="../printerSettings/printerSettings305.bin"/><Relationship Id="rId19" Type="http://schemas.openxmlformats.org/officeDocument/2006/relationships/printerSettings" Target="../printerSettings/printerSettings314.bin"/><Relationship Id="rId4" Type="http://schemas.openxmlformats.org/officeDocument/2006/relationships/printerSettings" Target="../printerSettings/printerSettings299.bin"/><Relationship Id="rId9" Type="http://schemas.openxmlformats.org/officeDocument/2006/relationships/printerSettings" Target="../printerSettings/printerSettings304.bin"/><Relationship Id="rId14" Type="http://schemas.openxmlformats.org/officeDocument/2006/relationships/printerSettings" Target="../printerSettings/printerSettings309.bin"/><Relationship Id="rId22" Type="http://schemas.openxmlformats.org/officeDocument/2006/relationships/printerSettings" Target="../printerSettings/printerSettings317.bin"/><Relationship Id="rId27" Type="http://schemas.openxmlformats.org/officeDocument/2006/relationships/printerSettings" Target="../printerSettings/printerSettings322.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2.bin"/><Relationship Id="rId13" Type="http://schemas.openxmlformats.org/officeDocument/2006/relationships/printerSettings" Target="../printerSettings/printerSettings337.bin"/><Relationship Id="rId18" Type="http://schemas.openxmlformats.org/officeDocument/2006/relationships/printerSettings" Target="../printerSettings/printerSettings342.bin"/><Relationship Id="rId26" Type="http://schemas.openxmlformats.org/officeDocument/2006/relationships/printerSettings" Target="../printerSettings/printerSettings350.bin"/><Relationship Id="rId3" Type="http://schemas.openxmlformats.org/officeDocument/2006/relationships/printerSettings" Target="../printerSettings/printerSettings327.bin"/><Relationship Id="rId21" Type="http://schemas.openxmlformats.org/officeDocument/2006/relationships/printerSettings" Target="../printerSettings/printerSettings345.bin"/><Relationship Id="rId7" Type="http://schemas.openxmlformats.org/officeDocument/2006/relationships/printerSettings" Target="../printerSettings/printerSettings331.bin"/><Relationship Id="rId12" Type="http://schemas.openxmlformats.org/officeDocument/2006/relationships/printerSettings" Target="../printerSettings/printerSettings336.bin"/><Relationship Id="rId17" Type="http://schemas.openxmlformats.org/officeDocument/2006/relationships/printerSettings" Target="../printerSettings/printerSettings341.bin"/><Relationship Id="rId25" Type="http://schemas.openxmlformats.org/officeDocument/2006/relationships/printerSettings" Target="../printerSettings/printerSettings349.bin"/><Relationship Id="rId2" Type="http://schemas.openxmlformats.org/officeDocument/2006/relationships/printerSettings" Target="../printerSettings/printerSettings326.bin"/><Relationship Id="rId16" Type="http://schemas.openxmlformats.org/officeDocument/2006/relationships/printerSettings" Target="../printerSettings/printerSettings340.bin"/><Relationship Id="rId20" Type="http://schemas.openxmlformats.org/officeDocument/2006/relationships/printerSettings" Target="../printerSettings/printerSettings344.bin"/><Relationship Id="rId29" Type="http://schemas.openxmlformats.org/officeDocument/2006/relationships/printerSettings" Target="../printerSettings/printerSettings353.bin"/><Relationship Id="rId1" Type="http://schemas.openxmlformats.org/officeDocument/2006/relationships/printerSettings" Target="../printerSettings/printerSettings325.bin"/><Relationship Id="rId6" Type="http://schemas.openxmlformats.org/officeDocument/2006/relationships/printerSettings" Target="../printerSettings/printerSettings330.bin"/><Relationship Id="rId11" Type="http://schemas.openxmlformats.org/officeDocument/2006/relationships/printerSettings" Target="../printerSettings/printerSettings335.bin"/><Relationship Id="rId24" Type="http://schemas.openxmlformats.org/officeDocument/2006/relationships/printerSettings" Target="../printerSettings/printerSettings348.bin"/><Relationship Id="rId5" Type="http://schemas.openxmlformats.org/officeDocument/2006/relationships/printerSettings" Target="../printerSettings/printerSettings329.bin"/><Relationship Id="rId15" Type="http://schemas.openxmlformats.org/officeDocument/2006/relationships/printerSettings" Target="../printerSettings/printerSettings339.bin"/><Relationship Id="rId23" Type="http://schemas.openxmlformats.org/officeDocument/2006/relationships/printerSettings" Target="../printerSettings/printerSettings347.bin"/><Relationship Id="rId28" Type="http://schemas.openxmlformats.org/officeDocument/2006/relationships/printerSettings" Target="../printerSettings/printerSettings352.bin"/><Relationship Id="rId10" Type="http://schemas.openxmlformats.org/officeDocument/2006/relationships/printerSettings" Target="../printerSettings/printerSettings334.bin"/><Relationship Id="rId19" Type="http://schemas.openxmlformats.org/officeDocument/2006/relationships/printerSettings" Target="../printerSettings/printerSettings343.bin"/><Relationship Id="rId4" Type="http://schemas.openxmlformats.org/officeDocument/2006/relationships/printerSettings" Target="../printerSettings/printerSettings328.bin"/><Relationship Id="rId9" Type="http://schemas.openxmlformats.org/officeDocument/2006/relationships/printerSettings" Target="../printerSettings/printerSettings333.bin"/><Relationship Id="rId14" Type="http://schemas.openxmlformats.org/officeDocument/2006/relationships/printerSettings" Target="../printerSettings/printerSettings338.bin"/><Relationship Id="rId22" Type="http://schemas.openxmlformats.org/officeDocument/2006/relationships/printerSettings" Target="../printerSettings/printerSettings346.bin"/><Relationship Id="rId27" Type="http://schemas.openxmlformats.org/officeDocument/2006/relationships/printerSettings" Target="../printerSettings/printerSettings351.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1.bin"/><Relationship Id="rId3" Type="http://schemas.openxmlformats.org/officeDocument/2006/relationships/printerSettings" Target="../printerSettings/printerSettings356.bin"/><Relationship Id="rId7" Type="http://schemas.openxmlformats.org/officeDocument/2006/relationships/printerSettings" Target="../printerSettings/printerSettings360.bin"/><Relationship Id="rId12" Type="http://schemas.openxmlformats.org/officeDocument/2006/relationships/comments" Target="../comments3.xml"/><Relationship Id="rId2" Type="http://schemas.openxmlformats.org/officeDocument/2006/relationships/printerSettings" Target="../printerSettings/printerSettings355.bin"/><Relationship Id="rId1" Type="http://schemas.openxmlformats.org/officeDocument/2006/relationships/printerSettings" Target="../printerSettings/printerSettings354.bin"/><Relationship Id="rId6" Type="http://schemas.openxmlformats.org/officeDocument/2006/relationships/printerSettings" Target="../printerSettings/printerSettings359.bin"/><Relationship Id="rId11" Type="http://schemas.openxmlformats.org/officeDocument/2006/relationships/vmlDrawing" Target="../drawings/vmlDrawing3.vml"/><Relationship Id="rId5" Type="http://schemas.openxmlformats.org/officeDocument/2006/relationships/printerSettings" Target="../printerSettings/printerSettings358.bin"/><Relationship Id="rId10" Type="http://schemas.openxmlformats.org/officeDocument/2006/relationships/printerSettings" Target="../printerSettings/printerSettings363.bin"/><Relationship Id="rId4" Type="http://schemas.openxmlformats.org/officeDocument/2006/relationships/printerSettings" Target="../printerSettings/printerSettings357.bin"/><Relationship Id="rId9" Type="http://schemas.openxmlformats.org/officeDocument/2006/relationships/printerSettings" Target="../printerSettings/printerSettings362.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71.bin"/><Relationship Id="rId13" Type="http://schemas.openxmlformats.org/officeDocument/2006/relationships/printerSettings" Target="../printerSettings/printerSettings376.bin"/><Relationship Id="rId18" Type="http://schemas.openxmlformats.org/officeDocument/2006/relationships/printerSettings" Target="../printerSettings/printerSettings381.bin"/><Relationship Id="rId26" Type="http://schemas.openxmlformats.org/officeDocument/2006/relationships/printerSettings" Target="../printerSettings/printerSettings389.bin"/><Relationship Id="rId3" Type="http://schemas.openxmlformats.org/officeDocument/2006/relationships/printerSettings" Target="../printerSettings/printerSettings366.bin"/><Relationship Id="rId21" Type="http://schemas.openxmlformats.org/officeDocument/2006/relationships/printerSettings" Target="../printerSettings/printerSettings384.bin"/><Relationship Id="rId7" Type="http://schemas.openxmlformats.org/officeDocument/2006/relationships/printerSettings" Target="../printerSettings/printerSettings370.bin"/><Relationship Id="rId12" Type="http://schemas.openxmlformats.org/officeDocument/2006/relationships/printerSettings" Target="../printerSettings/printerSettings375.bin"/><Relationship Id="rId17" Type="http://schemas.openxmlformats.org/officeDocument/2006/relationships/printerSettings" Target="../printerSettings/printerSettings380.bin"/><Relationship Id="rId25" Type="http://schemas.openxmlformats.org/officeDocument/2006/relationships/printerSettings" Target="../printerSettings/printerSettings388.bin"/><Relationship Id="rId2" Type="http://schemas.openxmlformats.org/officeDocument/2006/relationships/printerSettings" Target="../printerSettings/printerSettings365.bin"/><Relationship Id="rId16" Type="http://schemas.openxmlformats.org/officeDocument/2006/relationships/printerSettings" Target="../printerSettings/printerSettings379.bin"/><Relationship Id="rId20" Type="http://schemas.openxmlformats.org/officeDocument/2006/relationships/printerSettings" Target="../printerSettings/printerSettings383.bin"/><Relationship Id="rId29" Type="http://schemas.openxmlformats.org/officeDocument/2006/relationships/printerSettings" Target="../printerSettings/printerSettings392.bin"/><Relationship Id="rId1" Type="http://schemas.openxmlformats.org/officeDocument/2006/relationships/printerSettings" Target="../printerSettings/printerSettings364.bin"/><Relationship Id="rId6" Type="http://schemas.openxmlformats.org/officeDocument/2006/relationships/printerSettings" Target="../printerSettings/printerSettings369.bin"/><Relationship Id="rId11" Type="http://schemas.openxmlformats.org/officeDocument/2006/relationships/printerSettings" Target="../printerSettings/printerSettings374.bin"/><Relationship Id="rId24" Type="http://schemas.openxmlformats.org/officeDocument/2006/relationships/printerSettings" Target="../printerSettings/printerSettings387.bin"/><Relationship Id="rId5" Type="http://schemas.openxmlformats.org/officeDocument/2006/relationships/printerSettings" Target="../printerSettings/printerSettings368.bin"/><Relationship Id="rId15" Type="http://schemas.openxmlformats.org/officeDocument/2006/relationships/printerSettings" Target="../printerSettings/printerSettings378.bin"/><Relationship Id="rId23" Type="http://schemas.openxmlformats.org/officeDocument/2006/relationships/printerSettings" Target="../printerSettings/printerSettings386.bin"/><Relationship Id="rId28" Type="http://schemas.openxmlformats.org/officeDocument/2006/relationships/printerSettings" Target="../printerSettings/printerSettings391.bin"/><Relationship Id="rId10" Type="http://schemas.openxmlformats.org/officeDocument/2006/relationships/printerSettings" Target="../printerSettings/printerSettings373.bin"/><Relationship Id="rId19" Type="http://schemas.openxmlformats.org/officeDocument/2006/relationships/printerSettings" Target="../printerSettings/printerSettings382.bin"/><Relationship Id="rId4" Type="http://schemas.openxmlformats.org/officeDocument/2006/relationships/printerSettings" Target="../printerSettings/printerSettings367.bin"/><Relationship Id="rId9" Type="http://schemas.openxmlformats.org/officeDocument/2006/relationships/printerSettings" Target="../printerSettings/printerSettings372.bin"/><Relationship Id="rId14" Type="http://schemas.openxmlformats.org/officeDocument/2006/relationships/printerSettings" Target="../printerSettings/printerSettings377.bin"/><Relationship Id="rId22" Type="http://schemas.openxmlformats.org/officeDocument/2006/relationships/printerSettings" Target="../printerSettings/printerSettings385.bin"/><Relationship Id="rId27" Type="http://schemas.openxmlformats.org/officeDocument/2006/relationships/printerSettings" Target="../printerSettings/printerSettings39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00.bin"/><Relationship Id="rId13" Type="http://schemas.openxmlformats.org/officeDocument/2006/relationships/printerSettings" Target="../printerSettings/printerSettings405.bin"/><Relationship Id="rId18" Type="http://schemas.openxmlformats.org/officeDocument/2006/relationships/printerSettings" Target="../printerSettings/printerSettings410.bin"/><Relationship Id="rId26" Type="http://schemas.openxmlformats.org/officeDocument/2006/relationships/printerSettings" Target="../printerSettings/printerSettings418.bin"/><Relationship Id="rId3" Type="http://schemas.openxmlformats.org/officeDocument/2006/relationships/printerSettings" Target="../printerSettings/printerSettings395.bin"/><Relationship Id="rId21" Type="http://schemas.openxmlformats.org/officeDocument/2006/relationships/printerSettings" Target="../printerSettings/printerSettings413.bin"/><Relationship Id="rId7" Type="http://schemas.openxmlformats.org/officeDocument/2006/relationships/printerSettings" Target="../printerSettings/printerSettings399.bin"/><Relationship Id="rId12" Type="http://schemas.openxmlformats.org/officeDocument/2006/relationships/printerSettings" Target="../printerSettings/printerSettings404.bin"/><Relationship Id="rId17" Type="http://schemas.openxmlformats.org/officeDocument/2006/relationships/printerSettings" Target="../printerSettings/printerSettings409.bin"/><Relationship Id="rId25" Type="http://schemas.openxmlformats.org/officeDocument/2006/relationships/printerSettings" Target="../printerSettings/printerSettings417.bin"/><Relationship Id="rId2" Type="http://schemas.openxmlformats.org/officeDocument/2006/relationships/printerSettings" Target="../printerSettings/printerSettings394.bin"/><Relationship Id="rId16" Type="http://schemas.openxmlformats.org/officeDocument/2006/relationships/printerSettings" Target="../printerSettings/printerSettings408.bin"/><Relationship Id="rId20" Type="http://schemas.openxmlformats.org/officeDocument/2006/relationships/printerSettings" Target="../printerSettings/printerSettings412.bin"/><Relationship Id="rId29" Type="http://schemas.openxmlformats.org/officeDocument/2006/relationships/printerSettings" Target="../printerSettings/printerSettings421.bin"/><Relationship Id="rId1" Type="http://schemas.openxmlformats.org/officeDocument/2006/relationships/printerSettings" Target="../printerSettings/printerSettings393.bin"/><Relationship Id="rId6" Type="http://schemas.openxmlformats.org/officeDocument/2006/relationships/printerSettings" Target="../printerSettings/printerSettings398.bin"/><Relationship Id="rId11" Type="http://schemas.openxmlformats.org/officeDocument/2006/relationships/printerSettings" Target="../printerSettings/printerSettings403.bin"/><Relationship Id="rId24" Type="http://schemas.openxmlformats.org/officeDocument/2006/relationships/printerSettings" Target="../printerSettings/printerSettings416.bin"/><Relationship Id="rId5" Type="http://schemas.openxmlformats.org/officeDocument/2006/relationships/printerSettings" Target="../printerSettings/printerSettings397.bin"/><Relationship Id="rId15" Type="http://schemas.openxmlformats.org/officeDocument/2006/relationships/printerSettings" Target="../printerSettings/printerSettings407.bin"/><Relationship Id="rId23" Type="http://schemas.openxmlformats.org/officeDocument/2006/relationships/printerSettings" Target="../printerSettings/printerSettings415.bin"/><Relationship Id="rId28" Type="http://schemas.openxmlformats.org/officeDocument/2006/relationships/printerSettings" Target="../printerSettings/printerSettings420.bin"/><Relationship Id="rId10" Type="http://schemas.openxmlformats.org/officeDocument/2006/relationships/printerSettings" Target="../printerSettings/printerSettings402.bin"/><Relationship Id="rId19" Type="http://schemas.openxmlformats.org/officeDocument/2006/relationships/printerSettings" Target="../printerSettings/printerSettings411.bin"/><Relationship Id="rId4" Type="http://schemas.openxmlformats.org/officeDocument/2006/relationships/printerSettings" Target="../printerSettings/printerSettings396.bin"/><Relationship Id="rId9" Type="http://schemas.openxmlformats.org/officeDocument/2006/relationships/printerSettings" Target="../printerSettings/printerSettings401.bin"/><Relationship Id="rId14" Type="http://schemas.openxmlformats.org/officeDocument/2006/relationships/printerSettings" Target="../printerSettings/printerSettings406.bin"/><Relationship Id="rId22" Type="http://schemas.openxmlformats.org/officeDocument/2006/relationships/printerSettings" Target="../printerSettings/printerSettings414.bin"/><Relationship Id="rId27" Type="http://schemas.openxmlformats.org/officeDocument/2006/relationships/printerSettings" Target="../printerSettings/printerSettings4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29.bin"/><Relationship Id="rId13" Type="http://schemas.openxmlformats.org/officeDocument/2006/relationships/printerSettings" Target="../printerSettings/printerSettings434.bin"/><Relationship Id="rId18" Type="http://schemas.openxmlformats.org/officeDocument/2006/relationships/printerSettings" Target="../printerSettings/printerSettings439.bin"/><Relationship Id="rId26" Type="http://schemas.openxmlformats.org/officeDocument/2006/relationships/printerSettings" Target="../printerSettings/printerSettings447.bin"/><Relationship Id="rId3" Type="http://schemas.openxmlformats.org/officeDocument/2006/relationships/printerSettings" Target="../printerSettings/printerSettings424.bin"/><Relationship Id="rId21" Type="http://schemas.openxmlformats.org/officeDocument/2006/relationships/printerSettings" Target="../printerSettings/printerSettings442.bin"/><Relationship Id="rId7" Type="http://schemas.openxmlformats.org/officeDocument/2006/relationships/printerSettings" Target="../printerSettings/printerSettings428.bin"/><Relationship Id="rId12" Type="http://schemas.openxmlformats.org/officeDocument/2006/relationships/printerSettings" Target="../printerSettings/printerSettings433.bin"/><Relationship Id="rId17" Type="http://schemas.openxmlformats.org/officeDocument/2006/relationships/printerSettings" Target="../printerSettings/printerSettings438.bin"/><Relationship Id="rId25" Type="http://schemas.openxmlformats.org/officeDocument/2006/relationships/printerSettings" Target="../printerSettings/printerSettings446.bin"/><Relationship Id="rId2" Type="http://schemas.openxmlformats.org/officeDocument/2006/relationships/printerSettings" Target="../printerSettings/printerSettings423.bin"/><Relationship Id="rId16" Type="http://schemas.openxmlformats.org/officeDocument/2006/relationships/printerSettings" Target="../printerSettings/printerSettings437.bin"/><Relationship Id="rId20" Type="http://schemas.openxmlformats.org/officeDocument/2006/relationships/printerSettings" Target="../printerSettings/printerSettings441.bin"/><Relationship Id="rId29" Type="http://schemas.openxmlformats.org/officeDocument/2006/relationships/printerSettings" Target="../printerSettings/printerSettings450.bin"/><Relationship Id="rId1" Type="http://schemas.openxmlformats.org/officeDocument/2006/relationships/printerSettings" Target="../printerSettings/printerSettings422.bin"/><Relationship Id="rId6" Type="http://schemas.openxmlformats.org/officeDocument/2006/relationships/printerSettings" Target="../printerSettings/printerSettings427.bin"/><Relationship Id="rId11" Type="http://schemas.openxmlformats.org/officeDocument/2006/relationships/printerSettings" Target="../printerSettings/printerSettings432.bin"/><Relationship Id="rId24" Type="http://schemas.openxmlformats.org/officeDocument/2006/relationships/printerSettings" Target="../printerSettings/printerSettings445.bin"/><Relationship Id="rId5" Type="http://schemas.openxmlformats.org/officeDocument/2006/relationships/printerSettings" Target="../printerSettings/printerSettings426.bin"/><Relationship Id="rId15" Type="http://schemas.openxmlformats.org/officeDocument/2006/relationships/printerSettings" Target="../printerSettings/printerSettings436.bin"/><Relationship Id="rId23" Type="http://schemas.openxmlformats.org/officeDocument/2006/relationships/printerSettings" Target="../printerSettings/printerSettings444.bin"/><Relationship Id="rId28" Type="http://schemas.openxmlformats.org/officeDocument/2006/relationships/printerSettings" Target="../printerSettings/printerSettings449.bin"/><Relationship Id="rId10" Type="http://schemas.openxmlformats.org/officeDocument/2006/relationships/printerSettings" Target="../printerSettings/printerSettings431.bin"/><Relationship Id="rId19" Type="http://schemas.openxmlformats.org/officeDocument/2006/relationships/printerSettings" Target="../printerSettings/printerSettings440.bin"/><Relationship Id="rId4" Type="http://schemas.openxmlformats.org/officeDocument/2006/relationships/printerSettings" Target="../printerSettings/printerSettings425.bin"/><Relationship Id="rId9" Type="http://schemas.openxmlformats.org/officeDocument/2006/relationships/printerSettings" Target="../printerSettings/printerSettings430.bin"/><Relationship Id="rId14" Type="http://schemas.openxmlformats.org/officeDocument/2006/relationships/printerSettings" Target="../printerSettings/printerSettings435.bin"/><Relationship Id="rId22" Type="http://schemas.openxmlformats.org/officeDocument/2006/relationships/printerSettings" Target="../printerSettings/printerSettings443.bin"/><Relationship Id="rId27" Type="http://schemas.openxmlformats.org/officeDocument/2006/relationships/printerSettings" Target="../printerSettings/printerSettings44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1.bin"/><Relationship Id="rId13" Type="http://schemas.openxmlformats.org/officeDocument/2006/relationships/printerSettings" Target="../printerSettings/printerSettings46.bin"/><Relationship Id="rId18" Type="http://schemas.openxmlformats.org/officeDocument/2006/relationships/printerSettings" Target="../printerSettings/printerSettings51.bin"/><Relationship Id="rId26" Type="http://schemas.openxmlformats.org/officeDocument/2006/relationships/printerSettings" Target="../printerSettings/printerSettings59.bin"/><Relationship Id="rId3" Type="http://schemas.openxmlformats.org/officeDocument/2006/relationships/printerSettings" Target="../printerSettings/printerSettings36.bin"/><Relationship Id="rId21" Type="http://schemas.openxmlformats.org/officeDocument/2006/relationships/printerSettings" Target="../printerSettings/printerSettings54.bin"/><Relationship Id="rId7" Type="http://schemas.openxmlformats.org/officeDocument/2006/relationships/printerSettings" Target="../printerSettings/printerSettings40.bin"/><Relationship Id="rId12" Type="http://schemas.openxmlformats.org/officeDocument/2006/relationships/printerSettings" Target="../printerSettings/printerSettings45.bin"/><Relationship Id="rId17" Type="http://schemas.openxmlformats.org/officeDocument/2006/relationships/printerSettings" Target="../printerSettings/printerSettings50.bin"/><Relationship Id="rId25" Type="http://schemas.openxmlformats.org/officeDocument/2006/relationships/printerSettings" Target="../printerSettings/printerSettings58.bin"/><Relationship Id="rId2" Type="http://schemas.openxmlformats.org/officeDocument/2006/relationships/printerSettings" Target="../printerSettings/printerSettings35.bin"/><Relationship Id="rId16" Type="http://schemas.openxmlformats.org/officeDocument/2006/relationships/printerSettings" Target="../printerSettings/printerSettings49.bin"/><Relationship Id="rId20" Type="http://schemas.openxmlformats.org/officeDocument/2006/relationships/printerSettings" Target="../printerSettings/printerSettings53.bin"/><Relationship Id="rId29" Type="http://schemas.openxmlformats.org/officeDocument/2006/relationships/printerSettings" Target="../printerSettings/printerSettings62.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24" Type="http://schemas.openxmlformats.org/officeDocument/2006/relationships/printerSettings" Target="../printerSettings/printerSettings57.bin"/><Relationship Id="rId5" Type="http://schemas.openxmlformats.org/officeDocument/2006/relationships/printerSettings" Target="../printerSettings/printerSettings38.bin"/><Relationship Id="rId15" Type="http://schemas.openxmlformats.org/officeDocument/2006/relationships/printerSettings" Target="../printerSettings/printerSettings48.bin"/><Relationship Id="rId23" Type="http://schemas.openxmlformats.org/officeDocument/2006/relationships/printerSettings" Target="../printerSettings/printerSettings56.bin"/><Relationship Id="rId28" Type="http://schemas.openxmlformats.org/officeDocument/2006/relationships/printerSettings" Target="../printerSettings/printerSettings61.bin"/><Relationship Id="rId10" Type="http://schemas.openxmlformats.org/officeDocument/2006/relationships/printerSettings" Target="../printerSettings/printerSettings43.bin"/><Relationship Id="rId19" Type="http://schemas.openxmlformats.org/officeDocument/2006/relationships/printerSettings" Target="../printerSettings/printerSettings52.bin"/><Relationship Id="rId31" Type="http://schemas.openxmlformats.org/officeDocument/2006/relationships/comments" Target="../comments1.xml"/><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 Id="rId14" Type="http://schemas.openxmlformats.org/officeDocument/2006/relationships/printerSettings" Target="../printerSettings/printerSettings47.bin"/><Relationship Id="rId22" Type="http://schemas.openxmlformats.org/officeDocument/2006/relationships/printerSettings" Target="../printerSettings/printerSettings55.bin"/><Relationship Id="rId27" Type="http://schemas.openxmlformats.org/officeDocument/2006/relationships/printerSettings" Target="../printerSettings/printerSettings60.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0.bin"/><Relationship Id="rId13" Type="http://schemas.openxmlformats.org/officeDocument/2006/relationships/printerSettings" Target="../printerSettings/printerSettings75.bin"/><Relationship Id="rId18" Type="http://schemas.openxmlformats.org/officeDocument/2006/relationships/printerSettings" Target="../printerSettings/printerSettings80.bin"/><Relationship Id="rId26" Type="http://schemas.openxmlformats.org/officeDocument/2006/relationships/printerSettings" Target="../printerSettings/printerSettings88.bin"/><Relationship Id="rId3" Type="http://schemas.openxmlformats.org/officeDocument/2006/relationships/printerSettings" Target="../printerSettings/printerSettings65.bin"/><Relationship Id="rId21" Type="http://schemas.openxmlformats.org/officeDocument/2006/relationships/printerSettings" Target="../printerSettings/printerSettings83.bin"/><Relationship Id="rId7" Type="http://schemas.openxmlformats.org/officeDocument/2006/relationships/printerSettings" Target="../printerSettings/printerSettings69.bin"/><Relationship Id="rId12" Type="http://schemas.openxmlformats.org/officeDocument/2006/relationships/printerSettings" Target="../printerSettings/printerSettings74.bin"/><Relationship Id="rId17" Type="http://schemas.openxmlformats.org/officeDocument/2006/relationships/printerSettings" Target="../printerSettings/printerSettings79.bin"/><Relationship Id="rId25" Type="http://schemas.openxmlformats.org/officeDocument/2006/relationships/printerSettings" Target="../printerSettings/printerSettings87.bin"/><Relationship Id="rId2" Type="http://schemas.openxmlformats.org/officeDocument/2006/relationships/printerSettings" Target="../printerSettings/printerSettings64.bin"/><Relationship Id="rId16" Type="http://schemas.openxmlformats.org/officeDocument/2006/relationships/printerSettings" Target="../printerSettings/printerSettings78.bin"/><Relationship Id="rId20" Type="http://schemas.openxmlformats.org/officeDocument/2006/relationships/printerSettings" Target="../printerSettings/printerSettings82.bin"/><Relationship Id="rId29" Type="http://schemas.openxmlformats.org/officeDocument/2006/relationships/printerSettings" Target="../printerSettings/printerSettings91.bin"/><Relationship Id="rId1" Type="http://schemas.openxmlformats.org/officeDocument/2006/relationships/printerSettings" Target="../printerSettings/printerSettings63.bin"/><Relationship Id="rId6" Type="http://schemas.openxmlformats.org/officeDocument/2006/relationships/printerSettings" Target="../printerSettings/printerSettings68.bin"/><Relationship Id="rId11" Type="http://schemas.openxmlformats.org/officeDocument/2006/relationships/printerSettings" Target="../printerSettings/printerSettings73.bin"/><Relationship Id="rId24" Type="http://schemas.openxmlformats.org/officeDocument/2006/relationships/printerSettings" Target="../printerSettings/printerSettings86.bin"/><Relationship Id="rId5" Type="http://schemas.openxmlformats.org/officeDocument/2006/relationships/printerSettings" Target="../printerSettings/printerSettings67.bin"/><Relationship Id="rId15" Type="http://schemas.openxmlformats.org/officeDocument/2006/relationships/printerSettings" Target="../printerSettings/printerSettings77.bin"/><Relationship Id="rId23" Type="http://schemas.openxmlformats.org/officeDocument/2006/relationships/printerSettings" Target="../printerSettings/printerSettings85.bin"/><Relationship Id="rId28" Type="http://schemas.openxmlformats.org/officeDocument/2006/relationships/printerSettings" Target="../printerSettings/printerSettings90.bin"/><Relationship Id="rId10" Type="http://schemas.openxmlformats.org/officeDocument/2006/relationships/printerSettings" Target="../printerSettings/printerSettings72.bin"/><Relationship Id="rId19" Type="http://schemas.openxmlformats.org/officeDocument/2006/relationships/printerSettings" Target="../printerSettings/printerSettings81.bin"/><Relationship Id="rId4" Type="http://schemas.openxmlformats.org/officeDocument/2006/relationships/printerSettings" Target="../printerSettings/printerSettings66.bin"/><Relationship Id="rId9" Type="http://schemas.openxmlformats.org/officeDocument/2006/relationships/printerSettings" Target="../printerSettings/printerSettings71.bin"/><Relationship Id="rId14" Type="http://schemas.openxmlformats.org/officeDocument/2006/relationships/printerSettings" Target="../printerSettings/printerSettings76.bin"/><Relationship Id="rId22" Type="http://schemas.openxmlformats.org/officeDocument/2006/relationships/printerSettings" Target="../printerSettings/printerSettings84.bin"/><Relationship Id="rId27" Type="http://schemas.openxmlformats.org/officeDocument/2006/relationships/printerSettings" Target="../printerSettings/printerSettings8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99.bin"/><Relationship Id="rId13" Type="http://schemas.openxmlformats.org/officeDocument/2006/relationships/printerSettings" Target="../printerSettings/printerSettings104.bin"/><Relationship Id="rId18" Type="http://schemas.openxmlformats.org/officeDocument/2006/relationships/printerSettings" Target="../printerSettings/printerSettings109.bin"/><Relationship Id="rId26" Type="http://schemas.openxmlformats.org/officeDocument/2006/relationships/printerSettings" Target="../printerSettings/printerSettings117.bin"/><Relationship Id="rId3" Type="http://schemas.openxmlformats.org/officeDocument/2006/relationships/printerSettings" Target="../printerSettings/printerSettings94.bin"/><Relationship Id="rId21" Type="http://schemas.openxmlformats.org/officeDocument/2006/relationships/printerSettings" Target="../printerSettings/printerSettings112.bin"/><Relationship Id="rId7" Type="http://schemas.openxmlformats.org/officeDocument/2006/relationships/printerSettings" Target="../printerSettings/printerSettings98.bin"/><Relationship Id="rId12" Type="http://schemas.openxmlformats.org/officeDocument/2006/relationships/printerSettings" Target="../printerSettings/printerSettings103.bin"/><Relationship Id="rId17" Type="http://schemas.openxmlformats.org/officeDocument/2006/relationships/printerSettings" Target="../printerSettings/printerSettings108.bin"/><Relationship Id="rId25" Type="http://schemas.openxmlformats.org/officeDocument/2006/relationships/printerSettings" Target="../printerSettings/printerSettings116.bin"/><Relationship Id="rId2" Type="http://schemas.openxmlformats.org/officeDocument/2006/relationships/printerSettings" Target="../printerSettings/printerSettings93.bin"/><Relationship Id="rId16" Type="http://schemas.openxmlformats.org/officeDocument/2006/relationships/printerSettings" Target="../printerSettings/printerSettings107.bin"/><Relationship Id="rId20" Type="http://schemas.openxmlformats.org/officeDocument/2006/relationships/printerSettings" Target="../printerSettings/printerSettings111.bin"/><Relationship Id="rId29" Type="http://schemas.openxmlformats.org/officeDocument/2006/relationships/printerSettings" Target="../printerSettings/printerSettings120.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11" Type="http://schemas.openxmlformats.org/officeDocument/2006/relationships/printerSettings" Target="../printerSettings/printerSettings102.bin"/><Relationship Id="rId24" Type="http://schemas.openxmlformats.org/officeDocument/2006/relationships/printerSettings" Target="../printerSettings/printerSettings115.bin"/><Relationship Id="rId5" Type="http://schemas.openxmlformats.org/officeDocument/2006/relationships/printerSettings" Target="../printerSettings/printerSettings96.bin"/><Relationship Id="rId15" Type="http://schemas.openxmlformats.org/officeDocument/2006/relationships/printerSettings" Target="../printerSettings/printerSettings106.bin"/><Relationship Id="rId23" Type="http://schemas.openxmlformats.org/officeDocument/2006/relationships/printerSettings" Target="../printerSettings/printerSettings114.bin"/><Relationship Id="rId28" Type="http://schemas.openxmlformats.org/officeDocument/2006/relationships/printerSettings" Target="../printerSettings/printerSettings119.bin"/><Relationship Id="rId10" Type="http://schemas.openxmlformats.org/officeDocument/2006/relationships/printerSettings" Target="../printerSettings/printerSettings101.bin"/><Relationship Id="rId19" Type="http://schemas.openxmlformats.org/officeDocument/2006/relationships/printerSettings" Target="../printerSettings/printerSettings110.bin"/><Relationship Id="rId4" Type="http://schemas.openxmlformats.org/officeDocument/2006/relationships/printerSettings" Target="../printerSettings/printerSettings95.bin"/><Relationship Id="rId9" Type="http://schemas.openxmlformats.org/officeDocument/2006/relationships/printerSettings" Target="../printerSettings/printerSettings100.bin"/><Relationship Id="rId14" Type="http://schemas.openxmlformats.org/officeDocument/2006/relationships/printerSettings" Target="../printerSettings/printerSettings105.bin"/><Relationship Id="rId22" Type="http://schemas.openxmlformats.org/officeDocument/2006/relationships/printerSettings" Target="../printerSettings/printerSettings113.bin"/><Relationship Id="rId27" Type="http://schemas.openxmlformats.org/officeDocument/2006/relationships/printerSettings" Target="../printerSettings/printerSettings118.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8.bin"/><Relationship Id="rId13" Type="http://schemas.openxmlformats.org/officeDocument/2006/relationships/printerSettings" Target="../printerSettings/printerSettings133.bin"/><Relationship Id="rId18" Type="http://schemas.openxmlformats.org/officeDocument/2006/relationships/printerSettings" Target="../printerSettings/printerSettings138.bin"/><Relationship Id="rId26" Type="http://schemas.openxmlformats.org/officeDocument/2006/relationships/printerSettings" Target="../printerSettings/printerSettings146.bin"/><Relationship Id="rId3" Type="http://schemas.openxmlformats.org/officeDocument/2006/relationships/printerSettings" Target="../printerSettings/printerSettings123.bin"/><Relationship Id="rId21" Type="http://schemas.openxmlformats.org/officeDocument/2006/relationships/printerSettings" Target="../printerSettings/printerSettings141.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17" Type="http://schemas.openxmlformats.org/officeDocument/2006/relationships/printerSettings" Target="../printerSettings/printerSettings137.bin"/><Relationship Id="rId25" Type="http://schemas.openxmlformats.org/officeDocument/2006/relationships/printerSettings" Target="../printerSettings/printerSettings145.bin"/><Relationship Id="rId2" Type="http://schemas.openxmlformats.org/officeDocument/2006/relationships/printerSettings" Target="../printerSettings/printerSettings122.bin"/><Relationship Id="rId16" Type="http://schemas.openxmlformats.org/officeDocument/2006/relationships/printerSettings" Target="../printerSettings/printerSettings136.bin"/><Relationship Id="rId20" Type="http://schemas.openxmlformats.org/officeDocument/2006/relationships/printerSettings" Target="../printerSettings/printerSettings140.bin"/><Relationship Id="rId29" Type="http://schemas.openxmlformats.org/officeDocument/2006/relationships/printerSettings" Target="../printerSettings/printerSettings149.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24" Type="http://schemas.openxmlformats.org/officeDocument/2006/relationships/printerSettings" Target="../printerSettings/printerSettings144.bin"/><Relationship Id="rId5" Type="http://schemas.openxmlformats.org/officeDocument/2006/relationships/printerSettings" Target="../printerSettings/printerSettings125.bin"/><Relationship Id="rId15" Type="http://schemas.openxmlformats.org/officeDocument/2006/relationships/printerSettings" Target="../printerSettings/printerSettings135.bin"/><Relationship Id="rId23" Type="http://schemas.openxmlformats.org/officeDocument/2006/relationships/printerSettings" Target="../printerSettings/printerSettings143.bin"/><Relationship Id="rId28" Type="http://schemas.openxmlformats.org/officeDocument/2006/relationships/printerSettings" Target="../printerSettings/printerSettings148.bin"/><Relationship Id="rId10" Type="http://schemas.openxmlformats.org/officeDocument/2006/relationships/printerSettings" Target="../printerSettings/printerSettings130.bin"/><Relationship Id="rId19" Type="http://schemas.openxmlformats.org/officeDocument/2006/relationships/printerSettings" Target="../printerSettings/printerSettings139.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 Id="rId14" Type="http://schemas.openxmlformats.org/officeDocument/2006/relationships/printerSettings" Target="../printerSettings/printerSettings134.bin"/><Relationship Id="rId22" Type="http://schemas.openxmlformats.org/officeDocument/2006/relationships/printerSettings" Target="../printerSettings/printerSettings142.bin"/><Relationship Id="rId27" Type="http://schemas.openxmlformats.org/officeDocument/2006/relationships/printerSettings" Target="../printerSettings/printerSettings14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8.bin"/><Relationship Id="rId13" Type="http://schemas.openxmlformats.org/officeDocument/2006/relationships/printerSettings" Target="../printerSettings/printerSettings163.bin"/><Relationship Id="rId18" Type="http://schemas.openxmlformats.org/officeDocument/2006/relationships/printerSettings" Target="../printerSettings/printerSettings168.bin"/><Relationship Id="rId26" Type="http://schemas.openxmlformats.org/officeDocument/2006/relationships/printerSettings" Target="../printerSettings/printerSettings176.bin"/><Relationship Id="rId3" Type="http://schemas.openxmlformats.org/officeDocument/2006/relationships/printerSettings" Target="../printerSettings/printerSettings153.bin"/><Relationship Id="rId21" Type="http://schemas.openxmlformats.org/officeDocument/2006/relationships/printerSettings" Target="../printerSettings/printerSettings171.bin"/><Relationship Id="rId7" Type="http://schemas.openxmlformats.org/officeDocument/2006/relationships/printerSettings" Target="../printerSettings/printerSettings157.bin"/><Relationship Id="rId12" Type="http://schemas.openxmlformats.org/officeDocument/2006/relationships/printerSettings" Target="../printerSettings/printerSettings162.bin"/><Relationship Id="rId17" Type="http://schemas.openxmlformats.org/officeDocument/2006/relationships/printerSettings" Target="../printerSettings/printerSettings167.bin"/><Relationship Id="rId25" Type="http://schemas.openxmlformats.org/officeDocument/2006/relationships/printerSettings" Target="../printerSettings/printerSettings175.bin"/><Relationship Id="rId2" Type="http://schemas.openxmlformats.org/officeDocument/2006/relationships/printerSettings" Target="../printerSettings/printerSettings152.bin"/><Relationship Id="rId16" Type="http://schemas.openxmlformats.org/officeDocument/2006/relationships/printerSettings" Target="../printerSettings/printerSettings166.bin"/><Relationship Id="rId20" Type="http://schemas.openxmlformats.org/officeDocument/2006/relationships/printerSettings" Target="../printerSettings/printerSettings170.bin"/><Relationship Id="rId29" Type="http://schemas.openxmlformats.org/officeDocument/2006/relationships/printerSettings" Target="../printerSettings/printerSettings179.bin"/><Relationship Id="rId1" Type="http://schemas.openxmlformats.org/officeDocument/2006/relationships/printerSettings" Target="../printerSettings/printerSettings151.bin"/><Relationship Id="rId6" Type="http://schemas.openxmlformats.org/officeDocument/2006/relationships/printerSettings" Target="../printerSettings/printerSettings156.bin"/><Relationship Id="rId11" Type="http://schemas.openxmlformats.org/officeDocument/2006/relationships/printerSettings" Target="../printerSettings/printerSettings161.bin"/><Relationship Id="rId24" Type="http://schemas.openxmlformats.org/officeDocument/2006/relationships/printerSettings" Target="../printerSettings/printerSettings174.bin"/><Relationship Id="rId5" Type="http://schemas.openxmlformats.org/officeDocument/2006/relationships/printerSettings" Target="../printerSettings/printerSettings155.bin"/><Relationship Id="rId15" Type="http://schemas.openxmlformats.org/officeDocument/2006/relationships/printerSettings" Target="../printerSettings/printerSettings165.bin"/><Relationship Id="rId23" Type="http://schemas.openxmlformats.org/officeDocument/2006/relationships/printerSettings" Target="../printerSettings/printerSettings173.bin"/><Relationship Id="rId28" Type="http://schemas.openxmlformats.org/officeDocument/2006/relationships/printerSettings" Target="../printerSettings/printerSettings178.bin"/><Relationship Id="rId10" Type="http://schemas.openxmlformats.org/officeDocument/2006/relationships/printerSettings" Target="../printerSettings/printerSettings160.bin"/><Relationship Id="rId19" Type="http://schemas.openxmlformats.org/officeDocument/2006/relationships/printerSettings" Target="../printerSettings/printerSettings169.bin"/><Relationship Id="rId4" Type="http://schemas.openxmlformats.org/officeDocument/2006/relationships/printerSettings" Target="../printerSettings/printerSettings154.bin"/><Relationship Id="rId9" Type="http://schemas.openxmlformats.org/officeDocument/2006/relationships/printerSettings" Target="../printerSettings/printerSettings159.bin"/><Relationship Id="rId14" Type="http://schemas.openxmlformats.org/officeDocument/2006/relationships/printerSettings" Target="../printerSettings/printerSettings164.bin"/><Relationship Id="rId22" Type="http://schemas.openxmlformats.org/officeDocument/2006/relationships/printerSettings" Target="../printerSettings/printerSettings172.bin"/><Relationship Id="rId27" Type="http://schemas.openxmlformats.org/officeDocument/2006/relationships/printerSettings" Target="../printerSettings/printerSettings17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7.bin"/><Relationship Id="rId13" Type="http://schemas.openxmlformats.org/officeDocument/2006/relationships/printerSettings" Target="../printerSettings/printerSettings192.bin"/><Relationship Id="rId18" Type="http://schemas.openxmlformats.org/officeDocument/2006/relationships/printerSettings" Target="../printerSettings/printerSettings197.bin"/><Relationship Id="rId26" Type="http://schemas.openxmlformats.org/officeDocument/2006/relationships/printerSettings" Target="../printerSettings/printerSettings205.bin"/><Relationship Id="rId3" Type="http://schemas.openxmlformats.org/officeDocument/2006/relationships/printerSettings" Target="../printerSettings/printerSettings182.bin"/><Relationship Id="rId21" Type="http://schemas.openxmlformats.org/officeDocument/2006/relationships/printerSettings" Target="../printerSettings/printerSettings200.bin"/><Relationship Id="rId7" Type="http://schemas.openxmlformats.org/officeDocument/2006/relationships/printerSettings" Target="../printerSettings/printerSettings186.bin"/><Relationship Id="rId12" Type="http://schemas.openxmlformats.org/officeDocument/2006/relationships/printerSettings" Target="../printerSettings/printerSettings191.bin"/><Relationship Id="rId17" Type="http://schemas.openxmlformats.org/officeDocument/2006/relationships/printerSettings" Target="../printerSettings/printerSettings196.bin"/><Relationship Id="rId25" Type="http://schemas.openxmlformats.org/officeDocument/2006/relationships/printerSettings" Target="../printerSettings/printerSettings204.bin"/><Relationship Id="rId2" Type="http://schemas.openxmlformats.org/officeDocument/2006/relationships/printerSettings" Target="../printerSettings/printerSettings181.bin"/><Relationship Id="rId16" Type="http://schemas.openxmlformats.org/officeDocument/2006/relationships/printerSettings" Target="../printerSettings/printerSettings195.bin"/><Relationship Id="rId20" Type="http://schemas.openxmlformats.org/officeDocument/2006/relationships/printerSettings" Target="../printerSettings/printerSettings199.bin"/><Relationship Id="rId29" Type="http://schemas.openxmlformats.org/officeDocument/2006/relationships/printerSettings" Target="../printerSettings/printerSettings208.bin"/><Relationship Id="rId1" Type="http://schemas.openxmlformats.org/officeDocument/2006/relationships/printerSettings" Target="../printerSettings/printerSettings180.bin"/><Relationship Id="rId6" Type="http://schemas.openxmlformats.org/officeDocument/2006/relationships/printerSettings" Target="../printerSettings/printerSettings185.bin"/><Relationship Id="rId11" Type="http://schemas.openxmlformats.org/officeDocument/2006/relationships/printerSettings" Target="../printerSettings/printerSettings190.bin"/><Relationship Id="rId24" Type="http://schemas.openxmlformats.org/officeDocument/2006/relationships/printerSettings" Target="../printerSettings/printerSettings203.bin"/><Relationship Id="rId5" Type="http://schemas.openxmlformats.org/officeDocument/2006/relationships/printerSettings" Target="../printerSettings/printerSettings184.bin"/><Relationship Id="rId15" Type="http://schemas.openxmlformats.org/officeDocument/2006/relationships/printerSettings" Target="../printerSettings/printerSettings194.bin"/><Relationship Id="rId23" Type="http://schemas.openxmlformats.org/officeDocument/2006/relationships/printerSettings" Target="../printerSettings/printerSettings202.bin"/><Relationship Id="rId28" Type="http://schemas.openxmlformats.org/officeDocument/2006/relationships/printerSettings" Target="../printerSettings/printerSettings207.bin"/><Relationship Id="rId10" Type="http://schemas.openxmlformats.org/officeDocument/2006/relationships/printerSettings" Target="../printerSettings/printerSettings189.bin"/><Relationship Id="rId19" Type="http://schemas.openxmlformats.org/officeDocument/2006/relationships/printerSettings" Target="../printerSettings/printerSettings198.bin"/><Relationship Id="rId4" Type="http://schemas.openxmlformats.org/officeDocument/2006/relationships/printerSettings" Target="../printerSettings/printerSettings183.bin"/><Relationship Id="rId9" Type="http://schemas.openxmlformats.org/officeDocument/2006/relationships/printerSettings" Target="../printerSettings/printerSettings188.bin"/><Relationship Id="rId14" Type="http://schemas.openxmlformats.org/officeDocument/2006/relationships/printerSettings" Target="../printerSettings/printerSettings193.bin"/><Relationship Id="rId22" Type="http://schemas.openxmlformats.org/officeDocument/2006/relationships/printerSettings" Target="../printerSettings/printerSettings201.bin"/><Relationship Id="rId27" Type="http://schemas.openxmlformats.org/officeDocument/2006/relationships/printerSettings" Target="../printerSettings/printerSettings20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95"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27" customHeight="1" x14ac:dyDescent="0.25">
      <c r="A3" s="55"/>
      <c r="B3" s="55"/>
      <c r="C3" s="473" t="s">
        <v>236</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80" t="s">
        <v>30</v>
      </c>
      <c r="D4" s="483"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81"/>
      <c r="D5" s="484"/>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82"/>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2"/>
      <c r="B8" s="465"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63"/>
      <c r="B9" s="466"/>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63"/>
      <c r="B10" s="466"/>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63"/>
      <c r="B11" s="466"/>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64"/>
      <c r="B12" s="467"/>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15" t="s">
        <v>237</v>
      </c>
      <c r="C13" s="416"/>
      <c r="D13" s="416"/>
      <c r="E13" s="416"/>
      <c r="F13" s="416"/>
      <c r="G13" s="416"/>
      <c r="H13" s="416"/>
      <c r="I13" s="416"/>
      <c r="J13" s="416"/>
      <c r="K13" s="416"/>
      <c r="L13" s="416"/>
      <c r="M13" s="416"/>
      <c r="N13" s="416"/>
      <c r="O13" s="416"/>
      <c r="P13" s="416"/>
      <c r="Q13" s="416"/>
      <c r="R13" s="416"/>
      <c r="S13" s="416"/>
      <c r="T13" s="416"/>
      <c r="U13" s="416"/>
      <c r="V13" s="416"/>
      <c r="W13" s="416"/>
      <c r="X13" s="416"/>
      <c r="Y13" s="416"/>
      <c r="Z13" s="416"/>
      <c r="AA13" s="416"/>
      <c r="AB13" s="416"/>
      <c r="AC13" s="416"/>
      <c r="AD13" s="416"/>
      <c r="AE13" s="416"/>
      <c r="AF13" s="416"/>
      <c r="AG13" s="417"/>
      <c r="AH13" s="64"/>
    </row>
    <row r="14" spans="1:35" s="21" customFormat="1" ht="23.25" customHeight="1" x14ac:dyDescent="0.25">
      <c r="A14" s="423" t="s">
        <v>50</v>
      </c>
      <c r="B14" s="429"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24"/>
      <c r="B15" s="430"/>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24"/>
      <c r="B16" s="430"/>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3">
        <v>0</v>
      </c>
      <c r="K16" s="353">
        <v>0</v>
      </c>
      <c r="L16" s="353">
        <v>0</v>
      </c>
      <c r="M16" s="353">
        <v>0</v>
      </c>
      <c r="N16" s="354">
        <v>12482.68</v>
      </c>
      <c r="O16" s="354">
        <v>12482.677320000001</v>
      </c>
      <c r="P16" s="354">
        <v>16993.11</v>
      </c>
      <c r="Q16" s="354">
        <v>16396.66</v>
      </c>
      <c r="R16" s="354">
        <v>31623.8</v>
      </c>
      <c r="S16" s="354">
        <v>31623.8</v>
      </c>
      <c r="T16" s="354">
        <v>56369.256420000005</v>
      </c>
      <c r="U16" s="355">
        <v>56369.256420999998</v>
      </c>
      <c r="V16" s="354">
        <v>76838.384709999998</v>
      </c>
      <c r="W16" s="355">
        <v>77434.84</v>
      </c>
      <c r="X16" s="354">
        <v>154867.17090999999</v>
      </c>
      <c r="Y16" s="353">
        <v>97467.62</v>
      </c>
      <c r="Z16" s="354">
        <v>341272.63</v>
      </c>
      <c r="AA16" s="353">
        <v>174572.17</v>
      </c>
      <c r="AB16" s="354">
        <v>122999.03999999999</v>
      </c>
      <c r="AC16" s="354">
        <v>123104.1</v>
      </c>
      <c r="AD16" s="354">
        <v>150332.16246000002</v>
      </c>
      <c r="AE16" s="353">
        <v>0</v>
      </c>
      <c r="AF16" s="354">
        <v>329987.40000000002</v>
      </c>
      <c r="AG16" s="354"/>
      <c r="AH16" s="60"/>
      <c r="AI16" s="23"/>
    </row>
    <row r="17" spans="1:35" s="21" customFormat="1" ht="57" customHeight="1" x14ac:dyDescent="0.25">
      <c r="A17" s="424"/>
      <c r="B17" s="430"/>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25"/>
      <c r="B18" s="431"/>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6">
        <v>0</v>
      </c>
      <c r="K18" s="356">
        <v>0</v>
      </c>
      <c r="L18" s="356">
        <v>0</v>
      </c>
      <c r="M18" s="356">
        <v>0</v>
      </c>
      <c r="N18" s="357">
        <v>1386.96</v>
      </c>
      <c r="O18" s="357">
        <v>1386.96415</v>
      </c>
      <c r="P18" s="357">
        <v>1888.12</v>
      </c>
      <c r="Q18" s="357">
        <v>1821.85</v>
      </c>
      <c r="R18" s="357">
        <v>4745.29</v>
      </c>
      <c r="S18" s="357">
        <v>4745.29</v>
      </c>
      <c r="T18" s="357">
        <v>6263.25072</v>
      </c>
      <c r="U18" s="358">
        <v>6263.25072</v>
      </c>
      <c r="V18" s="357">
        <v>19367.333559999999</v>
      </c>
      <c r="W18" s="358">
        <v>19433.61</v>
      </c>
      <c r="X18" s="357">
        <v>19396.909</v>
      </c>
      <c r="Y18" s="356">
        <v>19396.91</v>
      </c>
      <c r="Z18" s="357">
        <v>24908.13</v>
      </c>
      <c r="AA18" s="356">
        <v>8.1264099999999999</v>
      </c>
      <c r="AB18" s="357">
        <v>13666.560220000001</v>
      </c>
      <c r="AC18" s="357">
        <v>13678.23</v>
      </c>
      <c r="AD18" s="357">
        <v>16703.573609999999</v>
      </c>
      <c r="AE18" s="356">
        <v>0</v>
      </c>
      <c r="AF18" s="357">
        <v>42727.96</v>
      </c>
      <c r="AG18" s="357"/>
      <c r="AH18" s="64" t="s">
        <v>344</v>
      </c>
      <c r="AI18" s="20"/>
    </row>
    <row r="19" spans="1:35" s="22" customFormat="1" ht="27.75" customHeight="1" x14ac:dyDescent="0.25">
      <c r="A19" s="453" t="s">
        <v>76</v>
      </c>
      <c r="B19" s="429"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54"/>
      <c r="B20" s="430"/>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54"/>
      <c r="B21" s="430"/>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24"/>
      <c r="B22" s="430"/>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55"/>
      <c r="B23" s="451"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350</v>
      </c>
      <c r="AI23" s="20"/>
    </row>
    <row r="24" spans="1:35" s="22" customFormat="1" ht="22.5" customHeight="1" x14ac:dyDescent="0.25">
      <c r="A24" s="456"/>
      <c r="B24" s="452"/>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56"/>
      <c r="B25" s="452"/>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49"/>
      <c r="B26" s="452"/>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24"/>
      <c r="B27" s="414"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350</v>
      </c>
      <c r="AI27" s="20"/>
    </row>
    <row r="28" spans="1:35" s="22" customFormat="1" ht="27" hidden="1" customHeight="1" x14ac:dyDescent="0.25">
      <c r="A28" s="424"/>
      <c r="B28" s="414"/>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25"/>
      <c r="B29" s="414"/>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48"/>
      <c r="B30" s="451"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350</v>
      </c>
      <c r="AI30" s="20"/>
    </row>
    <row r="31" spans="1:35" s="22" customFormat="1" ht="96.75" customHeight="1" x14ac:dyDescent="0.25">
      <c r="A31" s="449"/>
      <c r="B31" s="452"/>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50"/>
      <c r="B32" s="452"/>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53" t="s">
        <v>37</v>
      </c>
      <c r="B33" s="429"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350</v>
      </c>
      <c r="AI33" s="20"/>
    </row>
    <row r="34" spans="1:35" s="22" customFormat="1" ht="28.5" customHeight="1" x14ac:dyDescent="0.25">
      <c r="A34" s="454"/>
      <c r="B34" s="430"/>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54"/>
      <c r="B35" s="430"/>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54"/>
      <c r="B36" s="430"/>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24"/>
      <c r="B37" s="430"/>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55"/>
      <c r="B38" s="457"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56"/>
      <c r="B39" s="458"/>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56"/>
      <c r="B40" s="458"/>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49"/>
      <c r="B41" s="458"/>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37"/>
      <c r="B42" s="440"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38"/>
      <c r="B43" s="441"/>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38"/>
      <c r="B44" s="441"/>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39"/>
      <c r="B45" s="442"/>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36"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36"/>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36"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36"/>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43"/>
      <c r="B50" s="440"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44"/>
      <c r="B51" s="441"/>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45"/>
      <c r="B52" s="442"/>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36"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36"/>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37"/>
      <c r="B55" s="440"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38"/>
      <c r="B56" s="441"/>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46"/>
      <c r="B57" s="442"/>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1"/>
      <c r="B58" s="350" t="s">
        <v>387</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1"/>
      <c r="B59" s="352"/>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24"/>
      <c r="B60" s="447"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24"/>
      <c r="B61" s="447"/>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25"/>
      <c r="B62" s="447"/>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36"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36"/>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22"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22"/>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23"/>
      <c r="B67" s="426"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24"/>
      <c r="B68" s="427"/>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348</v>
      </c>
      <c r="AI68" s="20"/>
    </row>
    <row r="69" spans="1:35" s="22" customFormat="1" ht="58.5" customHeight="1" x14ac:dyDescent="0.25">
      <c r="A69" s="424"/>
      <c r="B69" s="427"/>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25"/>
      <c r="B70" s="428"/>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15" t="s">
        <v>254</v>
      </c>
      <c r="C71" s="416"/>
      <c r="D71" s="416"/>
      <c r="E71" s="416"/>
      <c r="F71" s="416"/>
      <c r="G71" s="416"/>
      <c r="H71" s="416"/>
      <c r="I71" s="416"/>
      <c r="J71" s="416"/>
      <c r="K71" s="416"/>
      <c r="L71" s="416"/>
      <c r="M71" s="416"/>
      <c r="N71" s="416"/>
      <c r="O71" s="416"/>
      <c r="P71" s="416"/>
      <c r="Q71" s="416"/>
      <c r="R71" s="416"/>
      <c r="S71" s="416"/>
      <c r="T71" s="416"/>
      <c r="U71" s="416"/>
      <c r="V71" s="416"/>
      <c r="W71" s="416"/>
      <c r="X71" s="416"/>
      <c r="Y71" s="416"/>
      <c r="Z71" s="416"/>
      <c r="AA71" s="416"/>
      <c r="AB71" s="416"/>
      <c r="AC71" s="416"/>
      <c r="AD71" s="416"/>
      <c r="AE71" s="416"/>
      <c r="AF71" s="416"/>
      <c r="AG71" s="417"/>
      <c r="AH71" s="48"/>
      <c r="AI71" s="20"/>
    </row>
    <row r="72" spans="1:35" s="21" customFormat="1" ht="23.25" customHeight="1" x14ac:dyDescent="0.25">
      <c r="A72" s="423" t="s">
        <v>38</v>
      </c>
      <c r="B72" s="429"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24"/>
      <c r="B73" s="430"/>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24"/>
      <c r="B74" s="430"/>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24"/>
      <c r="B75" s="431"/>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32"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33"/>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33"/>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351</v>
      </c>
      <c r="AI78" s="23"/>
    </row>
    <row r="79" spans="1:35" s="21" customFormat="1" ht="71.25" customHeight="1" x14ac:dyDescent="0.25">
      <c r="A79" s="127"/>
      <c r="B79" s="433"/>
      <c r="C79" s="126" t="s">
        <v>333</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34"/>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12" t="s">
        <v>257</v>
      </c>
      <c r="B81" s="418"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13"/>
      <c r="B82" s="419"/>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12"/>
      <c r="B83" s="420"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35"/>
      <c r="B84" s="421"/>
      <c r="C84" s="124" t="s">
        <v>341</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13"/>
      <c r="B85" s="421"/>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12"/>
      <c r="B86" s="414"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13"/>
      <c r="B87" s="414"/>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12"/>
      <c r="B88" s="414"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13"/>
      <c r="B89" s="414"/>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12"/>
      <c r="B90" s="414"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13"/>
      <c r="B91" s="414"/>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349</v>
      </c>
    </row>
    <row r="92" spans="1:35" s="10" customFormat="1" ht="23.25" customHeight="1" x14ac:dyDescent="0.25">
      <c r="A92" s="412"/>
      <c r="B92" s="414"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13"/>
      <c r="B93" s="414"/>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15" t="s">
        <v>32</v>
      </c>
      <c r="C94" s="416"/>
      <c r="D94" s="416"/>
      <c r="E94" s="416"/>
      <c r="F94" s="416"/>
      <c r="G94" s="416"/>
      <c r="H94" s="416"/>
      <c r="I94" s="416"/>
      <c r="J94" s="416"/>
      <c r="K94" s="416"/>
      <c r="L94" s="416"/>
      <c r="M94" s="416"/>
      <c r="N94" s="416"/>
      <c r="O94" s="416"/>
      <c r="P94" s="416"/>
      <c r="Q94" s="416"/>
      <c r="R94" s="416"/>
      <c r="S94" s="416"/>
      <c r="T94" s="416"/>
      <c r="U94" s="416"/>
      <c r="V94" s="416"/>
      <c r="W94" s="416"/>
      <c r="X94" s="416"/>
      <c r="Y94" s="416"/>
      <c r="Z94" s="416"/>
      <c r="AA94" s="416"/>
      <c r="AB94" s="416"/>
      <c r="AC94" s="416"/>
      <c r="AD94" s="416"/>
      <c r="AE94" s="416"/>
      <c r="AF94" s="416"/>
      <c r="AG94" s="417"/>
      <c r="AH94" s="75"/>
    </row>
    <row r="95" spans="1:35" s="30" customFormat="1" ht="55.5" customHeight="1" x14ac:dyDescent="0.25">
      <c r="A95" s="412" t="s">
        <v>264</v>
      </c>
      <c r="B95" s="418"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13"/>
      <c r="B96" s="419"/>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12"/>
      <c r="B97" s="420"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13"/>
      <c r="B98" s="421"/>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347</v>
      </c>
    </row>
    <row r="99" spans="1:35" s="10" customFormat="1" ht="23.25" customHeight="1" x14ac:dyDescent="0.25">
      <c r="A99" s="412"/>
      <c r="B99" s="414" t="s">
        <v>346</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327</v>
      </c>
    </row>
    <row r="100" spans="1:35" s="10" customFormat="1" ht="276.75" customHeight="1" x14ac:dyDescent="0.25">
      <c r="A100" s="413"/>
      <c r="B100" s="414"/>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343</v>
      </c>
    </row>
    <row r="101" spans="1:35" s="10" customFormat="1" ht="33" customHeight="1" x14ac:dyDescent="0.25">
      <c r="A101" s="151"/>
      <c r="B101" s="415" t="s">
        <v>267</v>
      </c>
      <c r="C101" s="416"/>
      <c r="D101" s="416"/>
      <c r="E101" s="416"/>
      <c r="F101" s="416"/>
      <c r="G101" s="416"/>
      <c r="H101" s="416"/>
      <c r="I101" s="416"/>
      <c r="J101" s="416"/>
      <c r="K101" s="416"/>
      <c r="L101" s="416"/>
      <c r="M101" s="416"/>
      <c r="N101" s="416"/>
      <c r="O101" s="416"/>
      <c r="P101" s="416"/>
      <c r="Q101" s="416"/>
      <c r="R101" s="416"/>
      <c r="S101" s="416"/>
      <c r="T101" s="416"/>
      <c r="U101" s="416"/>
      <c r="V101" s="416"/>
      <c r="W101" s="416"/>
      <c r="X101" s="416"/>
      <c r="Y101" s="416"/>
      <c r="Z101" s="416"/>
      <c r="AA101" s="416"/>
      <c r="AB101" s="416"/>
      <c r="AC101" s="416"/>
      <c r="AD101" s="416"/>
      <c r="AE101" s="416"/>
      <c r="AF101" s="416"/>
      <c r="AG101" s="417"/>
      <c r="AH101" s="75"/>
    </row>
    <row r="102" spans="1:35" s="30" customFormat="1" ht="45.75" customHeight="1" x14ac:dyDescent="0.25">
      <c r="A102" s="412" t="s">
        <v>268</v>
      </c>
      <c r="B102" s="418"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13"/>
      <c r="B103" s="419"/>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12"/>
      <c r="B104" s="420"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13"/>
      <c r="B105" s="421"/>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345</v>
      </c>
    </row>
    <row r="106" spans="1:35" s="10" customFormat="1" ht="23.25" customHeight="1" x14ac:dyDescent="0.25">
      <c r="A106" s="412"/>
      <c r="B106" s="414"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13"/>
      <c r="B107" s="414"/>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4"/>
      <c r="B108" s="286" t="s">
        <v>354</v>
      </c>
      <c r="C108" s="287" t="s">
        <v>20</v>
      </c>
      <c r="D108" s="288">
        <f>D109+D110+D111</f>
        <v>1440.52</v>
      </c>
      <c r="E108" s="288">
        <f t="shared" ref="E108:F108" si="164">E109+E110+E111</f>
        <v>1440.52</v>
      </c>
      <c r="F108" s="288">
        <f t="shared" si="164"/>
        <v>1440.52</v>
      </c>
      <c r="G108" s="288">
        <f>G109+G110+G111</f>
        <v>1440.52</v>
      </c>
      <c r="H108" s="70">
        <f t="shared" ref="H108:H111" si="165">IFERROR(G108/D108*100,0)</f>
        <v>100</v>
      </c>
      <c r="I108" s="70">
        <f t="shared" ref="I108:I111" si="166">IFERROR(G108/E108*100,0)</f>
        <v>100</v>
      </c>
      <c r="J108" s="289">
        <f>SUM(J109+J110+J111)</f>
        <v>0</v>
      </c>
      <c r="K108" s="289">
        <f t="shared" ref="K108:AG108" si="167">SUM(K109+K110+K111)</f>
        <v>0</v>
      </c>
      <c r="L108" s="289">
        <f t="shared" si="167"/>
        <v>0</v>
      </c>
      <c r="M108" s="289">
        <f t="shared" si="167"/>
        <v>0</v>
      </c>
      <c r="N108" s="289">
        <f t="shared" si="167"/>
        <v>0</v>
      </c>
      <c r="O108" s="289">
        <f t="shared" si="167"/>
        <v>0</v>
      </c>
      <c r="P108" s="289">
        <f t="shared" si="167"/>
        <v>0</v>
      </c>
      <c r="Q108" s="289">
        <f t="shared" si="167"/>
        <v>0</v>
      </c>
      <c r="R108" s="289">
        <f t="shared" si="167"/>
        <v>1440.52</v>
      </c>
      <c r="S108" s="289">
        <f t="shared" si="167"/>
        <v>0</v>
      </c>
      <c r="T108" s="289">
        <f t="shared" si="167"/>
        <v>0</v>
      </c>
      <c r="U108" s="289">
        <f t="shared" si="167"/>
        <v>0</v>
      </c>
      <c r="V108" s="289">
        <f t="shared" si="167"/>
        <v>0</v>
      </c>
      <c r="W108" s="289">
        <f t="shared" si="167"/>
        <v>0</v>
      </c>
      <c r="X108" s="289">
        <f t="shared" si="167"/>
        <v>0</v>
      </c>
      <c r="Y108" s="289">
        <f t="shared" si="167"/>
        <v>0</v>
      </c>
      <c r="Z108" s="289">
        <f t="shared" si="167"/>
        <v>0</v>
      </c>
      <c r="AA108" s="289">
        <f t="shared" si="167"/>
        <v>0</v>
      </c>
      <c r="AB108" s="289">
        <f t="shared" si="167"/>
        <v>0</v>
      </c>
      <c r="AC108" s="289">
        <f t="shared" si="167"/>
        <v>1440.52</v>
      </c>
      <c r="AD108" s="289">
        <f t="shared" si="167"/>
        <v>0</v>
      </c>
      <c r="AE108" s="289">
        <f t="shared" si="167"/>
        <v>0</v>
      </c>
      <c r="AF108" s="289">
        <f t="shared" si="167"/>
        <v>0</v>
      </c>
      <c r="AG108" s="289">
        <f t="shared" si="167"/>
        <v>0</v>
      </c>
      <c r="AH108" s="387" t="s">
        <v>426</v>
      </c>
    </row>
    <row r="109" spans="1:35" s="10" customFormat="1" ht="71.25" customHeight="1" x14ac:dyDescent="0.25">
      <c r="A109" s="135"/>
      <c r="B109" s="285"/>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1">
        <v>1006.2</v>
      </c>
      <c r="S109" s="291"/>
      <c r="T109" s="71"/>
      <c r="U109" s="71"/>
      <c r="V109" s="71"/>
      <c r="W109" s="71"/>
      <c r="X109" s="71"/>
      <c r="Y109" s="71"/>
      <c r="Z109" s="71"/>
      <c r="AA109" s="71"/>
      <c r="AB109" s="71"/>
      <c r="AC109" s="71">
        <v>1006.2</v>
      </c>
      <c r="AD109" s="71"/>
      <c r="AE109" s="71"/>
      <c r="AF109" s="71"/>
      <c r="AG109" s="71"/>
      <c r="AH109" s="72"/>
    </row>
    <row r="110" spans="1:35" ht="30" x14ac:dyDescent="0.25">
      <c r="A110" s="290"/>
      <c r="B110" s="290"/>
      <c r="C110" s="124" t="s">
        <v>341</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0"/>
      <c r="K110" s="290"/>
      <c r="L110" s="290"/>
      <c r="M110" s="290"/>
      <c r="N110" s="290"/>
      <c r="O110" s="290"/>
      <c r="P110" s="290"/>
      <c r="Q110" s="290"/>
      <c r="R110" s="293">
        <v>333.32</v>
      </c>
      <c r="S110" s="292"/>
      <c r="T110" s="290"/>
      <c r="U110" s="290"/>
      <c r="V110" s="290"/>
      <c r="W110" s="290"/>
      <c r="X110" s="290"/>
      <c r="Y110" s="290"/>
      <c r="Z110" s="290"/>
      <c r="AA110" s="290"/>
      <c r="AB110" s="290"/>
      <c r="AC110" s="290">
        <v>333.32</v>
      </c>
      <c r="AD110" s="290"/>
      <c r="AE110" s="290"/>
      <c r="AF110" s="290"/>
      <c r="AG110" s="290"/>
      <c r="AH110" s="290"/>
    </row>
    <row r="111" spans="1:35" ht="30" x14ac:dyDescent="0.25">
      <c r="A111" s="290"/>
      <c r="B111" s="290"/>
      <c r="C111" s="126" t="s">
        <v>22</v>
      </c>
      <c r="D111" s="70">
        <f t="shared" si="168"/>
        <v>101</v>
      </c>
      <c r="E111" s="70">
        <f t="shared" si="169"/>
        <v>101</v>
      </c>
      <c r="F111" s="70">
        <f t="shared" si="170"/>
        <v>101</v>
      </c>
      <c r="G111" s="70">
        <f t="shared" si="171"/>
        <v>101</v>
      </c>
      <c r="H111" s="70">
        <f t="shared" si="165"/>
        <v>100</v>
      </c>
      <c r="I111" s="70">
        <f t="shared" si="166"/>
        <v>100</v>
      </c>
      <c r="J111" s="290"/>
      <c r="K111" s="290"/>
      <c r="L111" s="290"/>
      <c r="M111" s="290"/>
      <c r="N111" s="290"/>
      <c r="O111" s="290"/>
      <c r="P111" s="290"/>
      <c r="Q111" s="290"/>
      <c r="R111" s="293">
        <v>101</v>
      </c>
      <c r="S111" s="292"/>
      <c r="T111" s="290"/>
      <c r="U111" s="290"/>
      <c r="V111" s="290"/>
      <c r="W111" s="290"/>
      <c r="X111" s="290"/>
      <c r="Y111" s="290"/>
      <c r="Z111" s="290"/>
      <c r="AA111" s="290"/>
      <c r="AB111" s="290"/>
      <c r="AC111" s="290">
        <v>101</v>
      </c>
      <c r="AD111" s="290"/>
      <c r="AE111" s="290"/>
      <c r="AF111" s="290"/>
      <c r="AG111" s="290"/>
      <c r="AH111" s="290"/>
    </row>
  </sheetData>
  <customSheetViews>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1"/>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3"/>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4"/>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5"/>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6"/>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7"/>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8"/>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9"/>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1"/>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2"/>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3"/>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4"/>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6"/>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18"/>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19"/>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1"/>
    </customSheetView>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22"/>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23"/>
    </customSheetView>
    <customSheetView guid="{AB9978E4-895D-4050-8F07-2484E22632D1}" scale="80" hiddenRows="1">
      <pane xSplit="6" ySplit="7" topLeftCell="G8" activePane="bottomRight" state="frozen"/>
      <selection pane="bottomRight" activeCell="A8" sqref="A8:XFD12"/>
      <pageMargins left="0.7" right="0.7" top="0.75" bottom="0.75" header="0.3" footer="0.3"/>
      <pageSetup paperSize="9" orientation="portrait" r:id="rId24"/>
    </customSheetView>
    <customSheetView guid="{2940A182-D1A7-43C5-8D6E-965BED4371B0}" scale="80" hiddenRows="1">
      <pane xSplit="6" ySplit="7" topLeftCell="G8" activePane="bottomRight" state="frozen"/>
      <selection pane="bottomRight" activeCell="A8" sqref="A8:XFD12"/>
      <pageMargins left="0.7" right="0.7" top="0.75" bottom="0.75" header="0.3" footer="0.3"/>
      <pageSetup paperSize="9" orientation="portrait" r:id="rId25"/>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26"/>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27"/>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28"/>
    </customSheetView>
  </customSheetViews>
  <mergeCells count="8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2"/>
    <mergeCell ref="B19:B22"/>
    <mergeCell ref="A23:A26"/>
    <mergeCell ref="B23:B26"/>
    <mergeCell ref="A27:A29"/>
    <mergeCell ref="B27:B29"/>
    <mergeCell ref="A30:A32"/>
    <mergeCell ref="B30:B32"/>
    <mergeCell ref="A33:A37"/>
    <mergeCell ref="B33:B37"/>
    <mergeCell ref="A38:A41"/>
    <mergeCell ref="B38:B41"/>
    <mergeCell ref="B63:B64"/>
    <mergeCell ref="A42:A45"/>
    <mergeCell ref="B42:B45"/>
    <mergeCell ref="B46:B47"/>
    <mergeCell ref="B48:B49"/>
    <mergeCell ref="A50:A52"/>
    <mergeCell ref="B50:B52"/>
    <mergeCell ref="B53:B54"/>
    <mergeCell ref="A55:A57"/>
    <mergeCell ref="B55:B57"/>
    <mergeCell ref="A60:A62"/>
    <mergeCell ref="B60:B62"/>
    <mergeCell ref="A86:A87"/>
    <mergeCell ref="B86:B87"/>
    <mergeCell ref="B65:B66"/>
    <mergeCell ref="A67:A70"/>
    <mergeCell ref="B67:B70"/>
    <mergeCell ref="B71:AG71"/>
    <mergeCell ref="A72:A75"/>
    <mergeCell ref="B72:B75"/>
    <mergeCell ref="B76:B80"/>
    <mergeCell ref="A81:A82"/>
    <mergeCell ref="B81:B82"/>
    <mergeCell ref="A83:A85"/>
    <mergeCell ref="B83:B85"/>
    <mergeCell ref="A88:A89"/>
    <mergeCell ref="B88:B89"/>
    <mergeCell ref="A90:A91"/>
    <mergeCell ref="B90:B91"/>
    <mergeCell ref="A92:A93"/>
    <mergeCell ref="B92:B93"/>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5" customWidth="1"/>
    <col min="6" max="6" width="17.140625" style="130" customWidth="1"/>
    <col min="7" max="7" width="17.85546875" style="395"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1" customWidth="1"/>
    <col min="32" max="33" width="11.5703125" style="8" customWidth="1"/>
    <col min="34" max="34" width="38.5703125" style="8" customWidth="1"/>
    <col min="35" max="16384" width="9.140625" style="8"/>
  </cols>
  <sheetData>
    <row r="1" spans="1:40" ht="23.25" customHeight="1" x14ac:dyDescent="0.25">
      <c r="A1" s="130"/>
      <c r="B1" s="130"/>
      <c r="C1" s="404"/>
      <c r="D1" s="392"/>
      <c r="E1" s="391"/>
      <c r="F1" s="392"/>
      <c r="G1" s="391"/>
      <c r="H1" s="392"/>
      <c r="I1" s="392"/>
      <c r="J1" s="393"/>
      <c r="K1" s="393"/>
      <c r="L1" s="393"/>
      <c r="M1" s="393"/>
      <c r="N1" s="393"/>
      <c r="O1" s="393"/>
      <c r="P1" s="393"/>
      <c r="Q1" s="393"/>
      <c r="R1" s="393"/>
      <c r="S1" s="393"/>
      <c r="T1" s="393"/>
      <c r="U1" s="393"/>
      <c r="V1" s="304"/>
      <c r="W1" s="304"/>
      <c r="X1" s="304"/>
      <c r="Y1" s="304"/>
      <c r="Z1" s="304"/>
      <c r="AA1" s="304"/>
      <c r="AB1" s="304"/>
      <c r="AC1" s="304"/>
      <c r="AD1" s="394"/>
      <c r="AE1" s="394"/>
      <c r="AF1" s="394"/>
      <c r="AG1" s="393"/>
      <c r="AH1" s="405"/>
      <c r="AI1" s="130"/>
      <c r="AJ1" s="130"/>
      <c r="AK1" s="130"/>
      <c r="AL1" s="130"/>
      <c r="AM1" s="130"/>
      <c r="AN1" s="130"/>
    </row>
    <row r="2" spans="1:40" ht="15.75" x14ac:dyDescent="0.25">
      <c r="A2" s="145"/>
      <c r="B2" s="145"/>
      <c r="C2" s="545" t="s">
        <v>24</v>
      </c>
      <c r="D2" s="545"/>
      <c r="E2" s="545"/>
      <c r="F2" s="545"/>
      <c r="G2" s="545"/>
      <c r="H2" s="545"/>
      <c r="I2" s="545"/>
      <c r="J2" s="545"/>
      <c r="K2" s="545"/>
      <c r="L2" s="545"/>
      <c r="M2" s="545"/>
      <c r="N2" s="545"/>
      <c r="O2" s="545"/>
      <c r="P2" s="545"/>
      <c r="Q2" s="545"/>
      <c r="R2" s="545"/>
      <c r="S2" s="545"/>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46" t="s">
        <v>215</v>
      </c>
      <c r="D3" s="546"/>
      <c r="E3" s="546"/>
      <c r="F3" s="546"/>
      <c r="G3" s="546"/>
      <c r="H3" s="546"/>
      <c r="I3" s="546"/>
      <c r="J3" s="546"/>
      <c r="K3" s="546"/>
      <c r="L3" s="546"/>
      <c r="M3" s="546"/>
      <c r="N3" s="546"/>
      <c r="O3" s="546"/>
      <c r="P3" s="546"/>
      <c r="Q3" s="546"/>
      <c r="R3" s="546"/>
      <c r="S3" s="546"/>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47" t="s">
        <v>26</v>
      </c>
      <c r="B4" s="550" t="s">
        <v>29</v>
      </c>
      <c r="C4" s="550" t="s">
        <v>30</v>
      </c>
      <c r="D4" s="483" t="s">
        <v>1</v>
      </c>
      <c r="E4" s="553" t="s">
        <v>1</v>
      </c>
      <c r="F4" s="483" t="s">
        <v>2</v>
      </c>
      <c r="G4" s="553" t="s">
        <v>3</v>
      </c>
      <c r="H4" s="541" t="s">
        <v>4</v>
      </c>
      <c r="I4" s="542"/>
      <c r="J4" s="541" t="s">
        <v>5</v>
      </c>
      <c r="K4" s="542"/>
      <c r="L4" s="541" t="s">
        <v>6</v>
      </c>
      <c r="M4" s="542"/>
      <c r="N4" s="541" t="s">
        <v>7</v>
      </c>
      <c r="O4" s="542"/>
      <c r="P4" s="541" t="s">
        <v>8</v>
      </c>
      <c r="Q4" s="542"/>
      <c r="R4" s="541" t="s">
        <v>9</v>
      </c>
      <c r="S4" s="542"/>
      <c r="T4" s="541" t="s">
        <v>10</v>
      </c>
      <c r="U4" s="542"/>
      <c r="V4" s="541" t="s">
        <v>11</v>
      </c>
      <c r="W4" s="542"/>
      <c r="X4" s="541" t="s">
        <v>12</v>
      </c>
      <c r="Y4" s="542"/>
      <c r="Z4" s="541" t="s">
        <v>13</v>
      </c>
      <c r="AA4" s="542"/>
      <c r="AB4" s="541" t="s">
        <v>14</v>
      </c>
      <c r="AC4" s="542"/>
      <c r="AD4" s="541" t="s">
        <v>15</v>
      </c>
      <c r="AE4" s="542"/>
      <c r="AF4" s="541" t="s">
        <v>16</v>
      </c>
      <c r="AG4" s="542"/>
      <c r="AH4" s="465" t="s">
        <v>17</v>
      </c>
      <c r="AI4" s="32"/>
      <c r="AJ4" s="32"/>
      <c r="AK4" s="32"/>
      <c r="AL4" s="32"/>
      <c r="AM4" s="32"/>
      <c r="AN4" s="32"/>
    </row>
    <row r="5" spans="1:40" s="10" customFormat="1" ht="39" customHeight="1" x14ac:dyDescent="0.25">
      <c r="A5" s="548"/>
      <c r="B5" s="551"/>
      <c r="C5" s="551"/>
      <c r="D5" s="484"/>
      <c r="E5" s="554"/>
      <c r="F5" s="484"/>
      <c r="G5" s="554"/>
      <c r="H5" s="543"/>
      <c r="I5" s="544"/>
      <c r="J5" s="543"/>
      <c r="K5" s="544"/>
      <c r="L5" s="543"/>
      <c r="M5" s="544"/>
      <c r="N5" s="543"/>
      <c r="O5" s="544"/>
      <c r="P5" s="543"/>
      <c r="Q5" s="544"/>
      <c r="R5" s="543"/>
      <c r="S5" s="544"/>
      <c r="T5" s="543"/>
      <c r="U5" s="544"/>
      <c r="V5" s="543"/>
      <c r="W5" s="544"/>
      <c r="X5" s="543"/>
      <c r="Y5" s="544"/>
      <c r="Z5" s="543"/>
      <c r="AA5" s="544"/>
      <c r="AB5" s="543"/>
      <c r="AC5" s="544"/>
      <c r="AD5" s="543"/>
      <c r="AE5" s="544"/>
      <c r="AF5" s="543"/>
      <c r="AG5" s="544"/>
      <c r="AH5" s="466"/>
      <c r="AI5" s="32"/>
      <c r="AJ5" s="32"/>
      <c r="AK5" s="32"/>
      <c r="AL5" s="32"/>
      <c r="AM5" s="32"/>
      <c r="AN5" s="32"/>
    </row>
    <row r="6" spans="1:40" s="10" customFormat="1" ht="64.5" customHeight="1" x14ac:dyDescent="0.25">
      <c r="A6" s="549"/>
      <c r="B6" s="552"/>
      <c r="C6" s="552"/>
      <c r="D6" s="121">
        <v>2025</v>
      </c>
      <c r="E6" s="310">
        <v>45992</v>
      </c>
      <c r="F6" s="273">
        <v>45992</v>
      </c>
      <c r="G6" s="310">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67"/>
      <c r="AI6" s="32"/>
      <c r="AJ6" s="32"/>
      <c r="AK6" s="32"/>
      <c r="AL6" s="32"/>
      <c r="AM6" s="32"/>
      <c r="AN6" s="32"/>
    </row>
    <row r="7" spans="1:40" s="10" customFormat="1" ht="15.75" x14ac:dyDescent="0.25">
      <c r="A7" s="40">
        <v>1</v>
      </c>
      <c r="B7" s="40">
        <v>2</v>
      </c>
      <c r="C7" s="40">
        <v>3</v>
      </c>
      <c r="D7" s="40">
        <v>4</v>
      </c>
      <c r="E7" s="312">
        <v>5</v>
      </c>
      <c r="F7" s="40">
        <v>6</v>
      </c>
      <c r="G7" s="312">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62"/>
      <c r="B8" s="465" t="s">
        <v>23</v>
      </c>
      <c r="C8" s="69" t="s">
        <v>20</v>
      </c>
      <c r="D8" s="70">
        <f>D9+D10+D11</f>
        <v>30945.772299999997</v>
      </c>
      <c r="E8" s="165">
        <f>E9+E10+E11</f>
        <v>26555.356299999999</v>
      </c>
      <c r="F8" s="70">
        <f>F9+F10+F11</f>
        <v>27270.866000000002</v>
      </c>
      <c r="G8" s="165">
        <f>G9+G10+G11</f>
        <v>27270.866000000002</v>
      </c>
      <c r="H8" s="70">
        <f>IFERROR(G8/D8*100,0)</f>
        <v>88.124690298971814</v>
      </c>
      <c r="I8" s="70">
        <f>IFERROR(G8/E8*100,0)</f>
        <v>102.69440820871232</v>
      </c>
      <c r="J8" s="71">
        <f t="shared" ref="J8:AF8" si="0">J9+J10+J11</f>
        <v>3176.105</v>
      </c>
      <c r="K8" s="71">
        <f t="shared" si="0"/>
        <v>1905.587</v>
      </c>
      <c r="L8" s="71">
        <f t="shared" si="0"/>
        <v>2925.7330000000002</v>
      </c>
      <c r="M8" s="71">
        <f t="shared" si="0"/>
        <v>3032.9210000000003</v>
      </c>
      <c r="N8" s="71">
        <f t="shared" si="0"/>
        <v>1990.3679999999999</v>
      </c>
      <c r="O8" s="71">
        <f t="shared" si="0"/>
        <v>1777.1270000000002</v>
      </c>
      <c r="P8" s="71">
        <f t="shared" si="0"/>
        <v>2914.9673000000003</v>
      </c>
      <c r="Q8" s="71">
        <f t="shared" si="0"/>
        <v>2160.1549999999997</v>
      </c>
      <c r="R8" s="71">
        <f t="shared" si="0"/>
        <v>2459.085</v>
      </c>
      <c r="S8" s="71">
        <f t="shared" si="0"/>
        <v>2012.037</v>
      </c>
      <c r="T8" s="71">
        <f t="shared" si="0"/>
        <v>2130.3670000000002</v>
      </c>
      <c r="U8" s="71">
        <f t="shared" si="0"/>
        <v>2990.71</v>
      </c>
      <c r="V8" s="71">
        <f t="shared" si="0"/>
        <v>2977.66</v>
      </c>
      <c r="W8" s="71">
        <f t="shared" si="0"/>
        <v>2718.4050000000002</v>
      </c>
      <c r="X8" s="71">
        <f t="shared" si="0"/>
        <v>2314.4210000000003</v>
      </c>
      <c r="Y8" s="71">
        <f t="shared" si="0"/>
        <v>1764.7130000000002</v>
      </c>
      <c r="Z8" s="71">
        <f t="shared" si="0"/>
        <v>1995.78</v>
      </c>
      <c r="AA8" s="71">
        <f t="shared" si="0"/>
        <v>2233.3999999999996</v>
      </c>
      <c r="AB8" s="71">
        <f t="shared" si="0"/>
        <v>2507.6129999999998</v>
      </c>
      <c r="AC8" s="71">
        <f t="shared" si="0"/>
        <v>2821.518</v>
      </c>
      <c r="AD8" s="71">
        <f t="shared" si="0"/>
        <v>1944.3690000000001</v>
      </c>
      <c r="AE8" s="71">
        <f t="shared" si="0"/>
        <v>2223.6930000000002</v>
      </c>
      <c r="AF8" s="71">
        <f t="shared" si="0"/>
        <v>3609.3039999999996</v>
      </c>
      <c r="AG8" s="71">
        <f>AG9+AG10+AG11</f>
        <v>1630.6</v>
      </c>
      <c r="AH8" s="343"/>
      <c r="AI8" s="25"/>
      <c r="AJ8" s="25"/>
      <c r="AK8" s="25"/>
      <c r="AL8" s="25"/>
      <c r="AM8" s="25"/>
      <c r="AN8" s="25"/>
    </row>
    <row r="9" spans="1:40" s="21" customFormat="1" ht="31.5" customHeight="1" x14ac:dyDescent="0.25">
      <c r="A9" s="463"/>
      <c r="B9" s="466"/>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3"/>
      <c r="AI9" s="25"/>
      <c r="AJ9" s="25"/>
      <c r="AK9" s="25"/>
      <c r="AL9" s="25"/>
      <c r="AM9" s="25"/>
      <c r="AN9" s="25"/>
    </row>
    <row r="10" spans="1:40" s="21" customFormat="1" ht="31.5" customHeight="1" x14ac:dyDescent="0.25">
      <c r="A10" s="463"/>
      <c r="B10" s="466"/>
      <c r="C10" s="389" t="s">
        <v>22</v>
      </c>
      <c r="D10" s="70">
        <f>SUM(J10,L10,N10,P10,R10,T10,V10,X10,Z10,AB10,AD10,AF10)</f>
        <v>12747.498</v>
      </c>
      <c r="E10" s="165">
        <f>J10+L10+N10+P10+R10+T10+V10+X10+Z10+AB10</f>
        <v>10594.139000000001</v>
      </c>
      <c r="F10" s="70">
        <f>G10</f>
        <v>10646.512000000001</v>
      </c>
      <c r="G10" s="165">
        <f>SUM(K10,M10,O10,Q10,S10,U10,W10,Y10,AA10,AC10,AE10,AG10)</f>
        <v>10646.512000000001</v>
      </c>
      <c r="H10" s="70">
        <f>IFERROR(G10/D10*100,0)</f>
        <v>83.518444168416423</v>
      </c>
      <c r="I10" s="70">
        <f>IFERROR(G10/E10*100,0)</f>
        <v>100.49435824846171</v>
      </c>
      <c r="J10" s="71">
        <f>J14+J19+J35</f>
        <v>1382.6869999999999</v>
      </c>
      <c r="K10" s="71">
        <f>K14+K19+K35</f>
        <v>757.19600000000003</v>
      </c>
      <c r="L10" s="71">
        <f t="shared" ref="L10:AF10" si="2">L14+L19+L35</f>
        <v>1009.982</v>
      </c>
      <c r="M10" s="71">
        <f t="shared" si="2"/>
        <v>1181.345</v>
      </c>
      <c r="N10" s="71">
        <f t="shared" si="2"/>
        <v>848.89899999999989</v>
      </c>
      <c r="O10" s="71">
        <f t="shared" si="2"/>
        <v>643.41200000000003</v>
      </c>
      <c r="P10" s="71">
        <f t="shared" si="2"/>
        <v>1366.7730000000001</v>
      </c>
      <c r="Q10" s="71">
        <f>Q14+Q19+Q35</f>
        <v>794.66199999999992</v>
      </c>
      <c r="R10" s="71">
        <f t="shared" si="2"/>
        <v>888.42200000000003</v>
      </c>
      <c r="S10" s="71">
        <f t="shared" si="2"/>
        <v>1000.4300000000001</v>
      </c>
      <c r="T10" s="71">
        <f t="shared" si="2"/>
        <v>952.18200000000002</v>
      </c>
      <c r="U10" s="71">
        <f t="shared" si="2"/>
        <v>1345.46</v>
      </c>
      <c r="V10" s="71">
        <f t="shared" si="2"/>
        <v>1430.4099999999999</v>
      </c>
      <c r="W10" s="71">
        <f t="shared" si="2"/>
        <v>1218.701</v>
      </c>
      <c r="X10" s="71">
        <f t="shared" si="2"/>
        <v>970.46900000000005</v>
      </c>
      <c r="Y10" s="71">
        <f t="shared" si="2"/>
        <v>627.68899999999996</v>
      </c>
      <c r="Z10" s="71">
        <f t="shared" si="2"/>
        <v>816.77199999999993</v>
      </c>
      <c r="AA10" s="71">
        <f t="shared" si="2"/>
        <v>827.51</v>
      </c>
      <c r="AB10" s="71">
        <f t="shared" si="2"/>
        <v>927.54300000000001</v>
      </c>
      <c r="AC10" s="71">
        <f t="shared" si="2"/>
        <v>1305.6869999999999</v>
      </c>
      <c r="AD10" s="71">
        <f t="shared" si="2"/>
        <v>781.11200000000008</v>
      </c>
      <c r="AE10" s="71">
        <f t="shared" si="2"/>
        <v>944.42000000000007</v>
      </c>
      <c r="AF10" s="71">
        <f t="shared" si="2"/>
        <v>1372.2469999999998</v>
      </c>
      <c r="AG10" s="71">
        <f>AG14+AG19+AG35</f>
        <v>0</v>
      </c>
      <c r="AH10" s="343"/>
      <c r="AI10" s="25"/>
      <c r="AJ10" s="25"/>
      <c r="AK10" s="25"/>
      <c r="AL10" s="25"/>
      <c r="AM10" s="25"/>
      <c r="AN10" s="25"/>
    </row>
    <row r="11" spans="1:40" s="22" customFormat="1" ht="38.25" customHeight="1" x14ac:dyDescent="0.25">
      <c r="A11" s="463"/>
      <c r="B11" s="466"/>
      <c r="C11" s="389" t="s">
        <v>21</v>
      </c>
      <c r="D11" s="70">
        <f>SUM(J11,L11,N11,P11,R11,T11,V11,X11,Z11,AB11,AD11,AF11)</f>
        <v>18193.674299999999</v>
      </c>
      <c r="E11" s="165">
        <f>J11+L11+N11+P11+R11+T11+V11+X11+Z11+AB11+AD11</f>
        <v>15956.617299999998</v>
      </c>
      <c r="F11" s="70">
        <f>G11</f>
        <v>16619.763999999999</v>
      </c>
      <c r="G11" s="165">
        <f>SUM(K11,M11,O11,Q11,S11,U11,W11,Y11,AA11,AC11,AE11,AG11)</f>
        <v>16619.763999999999</v>
      </c>
      <c r="H11" s="70">
        <f>IFERROR(G11/D11*100,0)</f>
        <v>91.349134462630232</v>
      </c>
      <c r="I11" s="70">
        <f>IFERROR(G11/E11*100,0)</f>
        <v>104.15593535604819</v>
      </c>
      <c r="J11" s="70">
        <f>J15+J17+J20+J24+26+J29+J31+J33+J39</f>
        <v>1793.4180000000001</v>
      </c>
      <c r="K11" s="70">
        <f>K15+K17+K20+K24+K26+K29+K31+K33+K39</f>
        <v>1148.3910000000001</v>
      </c>
      <c r="L11" s="70">
        <f>L15+L17+L20+L24+L26+L29+L31+L33+L39</f>
        <v>1915.751</v>
      </c>
      <c r="M11" s="70">
        <f>M15+M17+M20+M24+M26+M29+M31+M33+M39</f>
        <v>1851.576</v>
      </c>
      <c r="N11" s="70">
        <f t="shared" ref="N11:AD11" si="3">N15+N17+N20+N24+N26+N29+N31+N33+N39</f>
        <v>1141.4690000000001</v>
      </c>
      <c r="O11" s="70">
        <f>O15+O17+O20+O24+O26+O29+O31+O33+O39</f>
        <v>1133.7150000000001</v>
      </c>
      <c r="P11" s="70">
        <f t="shared" si="3"/>
        <v>1546.3942999999999</v>
      </c>
      <c r="Q11" s="70">
        <f>Q15+Q17+Q20+Q24+Q26+Q29+Q31+Q33+Q39</f>
        <v>1363.693</v>
      </c>
      <c r="R11" s="70">
        <f>R15+R17+R20+R24+R26+R29+R31+R33+R39</f>
        <v>1570.663</v>
      </c>
      <c r="S11" s="70">
        <f>S15+S17+S20+S24+S26+S29+S31+S33+S39</f>
        <v>1011.607</v>
      </c>
      <c r="T11" s="70">
        <f t="shared" si="3"/>
        <v>1178.1849999999999</v>
      </c>
      <c r="U11" s="70">
        <f t="shared" si="3"/>
        <v>1645.25</v>
      </c>
      <c r="V11" s="70">
        <f t="shared" si="3"/>
        <v>1547.25</v>
      </c>
      <c r="W11" s="70">
        <f t="shared" si="3"/>
        <v>1499.7040000000002</v>
      </c>
      <c r="X11" s="70">
        <f t="shared" si="3"/>
        <v>1343.952</v>
      </c>
      <c r="Y11" s="70">
        <f t="shared" si="3"/>
        <v>1137.0240000000001</v>
      </c>
      <c r="Z11" s="70">
        <f t="shared" si="3"/>
        <v>1179.008</v>
      </c>
      <c r="AA11" s="70">
        <f>AA15+AA17+AA20+AA24+AA26+AA29+AA31+AA33+AA39</f>
        <v>1405.8899999999999</v>
      </c>
      <c r="AB11" s="70">
        <f t="shared" si="3"/>
        <v>1577.27</v>
      </c>
      <c r="AC11" s="70">
        <f t="shared" si="3"/>
        <v>1513.0410000000002</v>
      </c>
      <c r="AD11" s="70">
        <f t="shared" si="3"/>
        <v>1163.2570000000001</v>
      </c>
      <c r="AE11" s="70">
        <f>AE15+AE17+AE20+AE24+AE26+AE29+AE31+AE33+AE39+AE36</f>
        <v>1279.2730000000001</v>
      </c>
      <c r="AF11" s="70">
        <f>AF15+AF17+AF20+AF24+AF26+AF29+AF31+AF33+AF39</f>
        <v>2237.0569999999998</v>
      </c>
      <c r="AG11" s="70">
        <f>AG15+AG17+AG20+AG24+AG26+AG29+AG31+AG33+AG39</f>
        <v>1630.6</v>
      </c>
      <c r="AH11" s="75"/>
      <c r="AI11" s="26"/>
      <c r="AJ11" s="26"/>
      <c r="AK11" s="26"/>
      <c r="AL11" s="26"/>
      <c r="AM11" s="26"/>
      <c r="AN11" s="26"/>
    </row>
    <row r="12" spans="1:40" s="22" customFormat="1" ht="18.75" customHeight="1" x14ac:dyDescent="0.25">
      <c r="A12" s="132" t="s">
        <v>151</v>
      </c>
      <c r="B12" s="502" t="s">
        <v>216</v>
      </c>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4"/>
      <c r="AH12" s="75"/>
      <c r="AI12" s="26"/>
      <c r="AJ12" s="26"/>
      <c r="AK12" s="26"/>
      <c r="AL12" s="26"/>
      <c r="AM12" s="26"/>
      <c r="AN12" s="26"/>
    </row>
    <row r="13" spans="1:40" s="204" customFormat="1" ht="218.25" customHeight="1" x14ac:dyDescent="0.25">
      <c r="A13" s="462" t="s">
        <v>152</v>
      </c>
      <c r="B13" s="418" t="s">
        <v>217</v>
      </c>
      <c r="C13" s="69" t="s">
        <v>20</v>
      </c>
      <c r="D13" s="71">
        <f>D14+D15</f>
        <v>645.1</v>
      </c>
      <c r="E13" s="255">
        <f>E14+E15</f>
        <v>486.07500000000005</v>
      </c>
      <c r="F13" s="71">
        <f t="shared" ref="F13:AF13" si="4">F14+F15</f>
        <v>392.774</v>
      </c>
      <c r="G13" s="255">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69" t="s">
        <v>393</v>
      </c>
      <c r="AI13" s="160"/>
      <c r="AJ13" s="25"/>
      <c r="AK13" s="25"/>
      <c r="AL13" s="25"/>
      <c r="AM13" s="25"/>
      <c r="AN13" s="25"/>
    </row>
    <row r="14" spans="1:40" s="21" customFormat="1" ht="73.5" customHeight="1" x14ac:dyDescent="0.25">
      <c r="A14" s="463"/>
      <c r="B14" s="508"/>
      <c r="C14" s="389"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3"/>
      <c r="AI14" s="160"/>
      <c r="AJ14" s="25"/>
      <c r="AK14" s="25"/>
      <c r="AL14" s="25"/>
      <c r="AM14" s="25"/>
      <c r="AN14" s="25"/>
    </row>
    <row r="15" spans="1:40" s="21" customFormat="1" ht="29.25" customHeight="1" x14ac:dyDescent="0.25">
      <c r="A15" s="555"/>
      <c r="B15" s="556"/>
      <c r="C15" s="389"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3"/>
      <c r="AI15" s="160"/>
      <c r="AJ15" s="25"/>
      <c r="AK15" s="25"/>
      <c r="AL15" s="25"/>
      <c r="AM15" s="25"/>
      <c r="AN15" s="25"/>
    </row>
    <row r="16" spans="1:40" s="203" customFormat="1" ht="82.5" customHeight="1" x14ac:dyDescent="0.25">
      <c r="A16" s="462" t="s">
        <v>218</v>
      </c>
      <c r="B16" s="418" t="s">
        <v>219</v>
      </c>
      <c r="C16" s="69" t="s">
        <v>20</v>
      </c>
      <c r="D16" s="70">
        <f>D17</f>
        <v>9567.2949999999983</v>
      </c>
      <c r="E16" s="165">
        <f>E17</f>
        <v>8064.0049999999992</v>
      </c>
      <c r="F16" s="70">
        <f>F17</f>
        <v>9379.5749999999989</v>
      </c>
      <c r="G16" s="165">
        <f>G17</f>
        <v>9379.5749999999989</v>
      </c>
      <c r="H16" s="70">
        <f t="shared" si="5"/>
        <v>98.037898904549309</v>
      </c>
      <c r="I16" s="70">
        <f t="shared" si="6"/>
        <v>116.31410198778399</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1503.29</v>
      </c>
      <c r="AG16" s="71">
        <f t="shared" si="7"/>
        <v>1630.6</v>
      </c>
      <c r="AH16" s="75" t="s">
        <v>392</v>
      </c>
      <c r="AI16" s="24"/>
      <c r="AJ16" s="25"/>
      <c r="AK16" s="25"/>
      <c r="AL16" s="25"/>
      <c r="AM16" s="25"/>
      <c r="AN16" s="25"/>
    </row>
    <row r="17" spans="1:40" s="22" customFormat="1" ht="56.25" customHeight="1" x14ac:dyDescent="0.25">
      <c r="A17" s="464"/>
      <c r="B17" s="419"/>
      <c r="C17" s="389" t="s">
        <v>21</v>
      </c>
      <c r="D17" s="74">
        <f>SUM(J17,L17,N17,P17,R17,T17,V17,X17,Z17,AB17,AD17,AF17)</f>
        <v>9567.2949999999983</v>
      </c>
      <c r="E17" s="170">
        <f>J17+L17+N17+P17+R17+T17+V17+X17+Z17+AB17+AD17</f>
        <v>8064.0049999999992</v>
      </c>
      <c r="F17" s="74">
        <f>G17</f>
        <v>9379.5749999999989</v>
      </c>
      <c r="G17" s="170">
        <f>SUM(K17,M17,O17,Q17,S17,U17,W17,Y17,AA17,AC17,AE17,AG17)</f>
        <v>9379.5749999999989</v>
      </c>
      <c r="H17" s="74">
        <f t="shared" si="5"/>
        <v>98.037898904549309</v>
      </c>
      <c r="I17" s="74">
        <f t="shared" si="6"/>
        <v>116.31410198778399</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1503.29</v>
      </c>
      <c r="AG17" s="67">
        <v>1630.6</v>
      </c>
      <c r="AH17" s="75"/>
      <c r="AI17" s="24"/>
      <c r="AJ17" s="26"/>
      <c r="AK17" s="26"/>
      <c r="AL17" s="26"/>
      <c r="AM17" s="26"/>
      <c r="AN17" s="26"/>
    </row>
    <row r="18" spans="1:40" s="205" customFormat="1" ht="55.5" customHeight="1" x14ac:dyDescent="0.25">
      <c r="A18" s="462" t="s">
        <v>220</v>
      </c>
      <c r="B18" s="418" t="s">
        <v>221</v>
      </c>
      <c r="C18" s="69" t="s">
        <v>20</v>
      </c>
      <c r="D18" s="70">
        <f>D19+D20</f>
        <v>2409.8000000000002</v>
      </c>
      <c r="E18" s="165">
        <f>E19+E20</f>
        <v>2175.52</v>
      </c>
      <c r="F18" s="70">
        <f t="shared" ref="F18:G18" si="8">F19+F20</f>
        <v>2177.8220000000001</v>
      </c>
      <c r="G18" s="165">
        <f t="shared" si="8"/>
        <v>2177.8220000000001</v>
      </c>
      <c r="H18" s="70">
        <f t="shared" si="5"/>
        <v>90.373557971615909</v>
      </c>
      <c r="I18" s="70">
        <f t="shared" si="6"/>
        <v>100.10581378245203</v>
      </c>
      <c r="J18" s="71">
        <f t="shared" ref="J18:AF18" si="9">J19+J20</f>
        <v>253.6</v>
      </c>
      <c r="K18" s="71">
        <f>K19+K20</f>
        <v>146.232</v>
      </c>
      <c r="L18" s="71">
        <f t="shared" si="9"/>
        <v>180.37</v>
      </c>
      <c r="M18" s="71">
        <f t="shared" si="9"/>
        <v>206.376</v>
      </c>
      <c r="N18" s="71">
        <f t="shared" si="9"/>
        <v>157.94</v>
      </c>
      <c r="O18" s="71">
        <f t="shared" si="9"/>
        <v>148.69</v>
      </c>
      <c r="P18" s="71">
        <f t="shared" si="9"/>
        <v>162.97000000000003</v>
      </c>
      <c r="Q18" s="71">
        <f t="shared" si="9"/>
        <v>204.43299999999999</v>
      </c>
      <c r="R18" s="71">
        <f t="shared" si="9"/>
        <v>151.44</v>
      </c>
      <c r="S18" s="71">
        <f t="shared" si="9"/>
        <v>106.2</v>
      </c>
      <c r="T18" s="71">
        <f t="shared" si="9"/>
        <v>378.9</v>
      </c>
      <c r="U18" s="71">
        <f t="shared" si="9"/>
        <v>188.45</v>
      </c>
      <c r="V18" s="71">
        <f t="shared" si="9"/>
        <v>273.03000000000003</v>
      </c>
      <c r="W18" s="71">
        <f t="shared" si="9"/>
        <v>420.29</v>
      </c>
      <c r="X18" s="71">
        <f t="shared" si="9"/>
        <v>151.44</v>
      </c>
      <c r="Y18" s="71">
        <f t="shared" si="9"/>
        <v>117.736</v>
      </c>
      <c r="Z18" s="71">
        <f t="shared" si="9"/>
        <v>151.44</v>
      </c>
      <c r="AA18" s="71">
        <f t="shared" si="9"/>
        <v>185.91</v>
      </c>
      <c r="AB18" s="71">
        <f t="shared" si="9"/>
        <v>162.96</v>
      </c>
      <c r="AC18" s="71">
        <f t="shared" si="9"/>
        <v>207.816</v>
      </c>
      <c r="AD18" s="71">
        <f t="shared" si="9"/>
        <v>151.43</v>
      </c>
      <c r="AE18" s="71">
        <f>AE19+AE20</f>
        <v>245.68900000000002</v>
      </c>
      <c r="AF18" s="71">
        <f t="shared" si="9"/>
        <v>234.28</v>
      </c>
      <c r="AG18" s="71">
        <f>AG19+AG20</f>
        <v>0</v>
      </c>
      <c r="AH18" s="43" t="s">
        <v>352</v>
      </c>
      <c r="AI18" s="24"/>
      <c r="AJ18" s="25"/>
      <c r="AK18" s="25"/>
      <c r="AL18" s="25"/>
      <c r="AM18" s="25"/>
      <c r="AN18" s="25"/>
    </row>
    <row r="19" spans="1:40" s="21" customFormat="1" ht="45" customHeight="1" x14ac:dyDescent="0.25">
      <c r="A19" s="463"/>
      <c r="B19" s="508"/>
      <c r="C19" s="389" t="s">
        <v>22</v>
      </c>
      <c r="D19" s="74">
        <f>SUM(J19,L19,N19,P19,R19,T19,V19,X19,Z19,AB19,AD19,AF19)</f>
        <v>2297.4</v>
      </c>
      <c r="E19" s="170">
        <f>J19+L19+N19+P19+R19+T19+V19+X19+Z19+AB19+AD19</f>
        <v>2063.12</v>
      </c>
      <c r="F19" s="74">
        <f>G19</f>
        <v>2067.3990000000003</v>
      </c>
      <c r="G19" s="170">
        <f>SUM(K19,M19,O19,Q19,S19,U19,W19,Y19,AA19,AC19,AE19,AG19)</f>
        <v>2067.3990000000003</v>
      </c>
      <c r="H19" s="74">
        <f t="shared" si="5"/>
        <v>89.988639331418142</v>
      </c>
      <c r="I19" s="74">
        <f t="shared" si="6"/>
        <v>100.20740431967118</v>
      </c>
      <c r="J19" s="67">
        <v>248.07</v>
      </c>
      <c r="K19" s="67">
        <v>140.70500000000001</v>
      </c>
      <c r="L19" s="67">
        <v>180.37</v>
      </c>
      <c r="M19" s="67">
        <v>206.376</v>
      </c>
      <c r="N19" s="67">
        <v>157.94</v>
      </c>
      <c r="O19" s="67">
        <v>148.69</v>
      </c>
      <c r="P19" s="67">
        <v>155.61000000000001</v>
      </c>
      <c r="Q19" s="67">
        <v>197.57</v>
      </c>
      <c r="R19" s="67">
        <v>151.44</v>
      </c>
      <c r="S19" s="67">
        <v>99.31</v>
      </c>
      <c r="T19" s="67">
        <v>322.5</v>
      </c>
      <c r="U19" s="67">
        <v>146.72999999999999</v>
      </c>
      <c r="V19" s="67">
        <v>237.27</v>
      </c>
      <c r="W19" s="67">
        <v>413.43</v>
      </c>
      <c r="X19" s="67">
        <v>151.44</v>
      </c>
      <c r="Y19" s="67">
        <v>117.736</v>
      </c>
      <c r="Z19" s="67">
        <v>151.44</v>
      </c>
      <c r="AA19" s="67">
        <v>185.91</v>
      </c>
      <c r="AB19" s="67">
        <v>155.61000000000001</v>
      </c>
      <c r="AC19" s="67">
        <v>200.953</v>
      </c>
      <c r="AD19" s="67">
        <v>151.43</v>
      </c>
      <c r="AE19" s="67">
        <v>209.989</v>
      </c>
      <c r="AF19" s="67">
        <v>234.28</v>
      </c>
      <c r="AG19" s="67">
        <v>0</v>
      </c>
      <c r="AH19" s="343"/>
      <c r="AI19" s="24"/>
      <c r="AJ19" s="25"/>
      <c r="AK19" s="25"/>
      <c r="AL19" s="25"/>
      <c r="AM19" s="25"/>
      <c r="AN19" s="25"/>
    </row>
    <row r="20" spans="1:40" s="22" customFormat="1" ht="63" customHeight="1" x14ac:dyDescent="0.25">
      <c r="A20" s="464"/>
      <c r="B20" s="419"/>
      <c r="C20" s="389" t="s">
        <v>21</v>
      </c>
      <c r="D20" s="74">
        <f>SUM(J20,L20,N20,P20,R20,T20,V20,X20,Z20,AB20,AD20,AF20)</f>
        <v>112.39999999999998</v>
      </c>
      <c r="E20" s="170">
        <f>J20+L20+N20+P20+R20+T20+V20+X20+Z20+AB20+AD20</f>
        <v>112.39999999999998</v>
      </c>
      <c r="F20" s="74">
        <f>G20</f>
        <v>110.423</v>
      </c>
      <c r="G20" s="170">
        <f>SUM(K20,M20,O20,Q20,S20,U20,W20,Y20,AA20,AC20,AE20,AG20)</f>
        <v>110.423</v>
      </c>
      <c r="H20" s="74">
        <f t="shared" si="5"/>
        <v>98.241103202846986</v>
      </c>
      <c r="I20" s="74">
        <f t="shared" si="6"/>
        <v>98.241103202846986</v>
      </c>
      <c r="J20" s="67">
        <v>5.53</v>
      </c>
      <c r="K20" s="67">
        <v>5.5270000000000001</v>
      </c>
      <c r="L20" s="67">
        <v>0</v>
      </c>
      <c r="M20" s="67">
        <v>0</v>
      </c>
      <c r="N20" s="67">
        <v>0</v>
      </c>
      <c r="O20" s="67">
        <v>0</v>
      </c>
      <c r="P20" s="67">
        <v>7.36</v>
      </c>
      <c r="Q20" s="67">
        <v>6.8630000000000004</v>
      </c>
      <c r="R20" s="67">
        <v>0</v>
      </c>
      <c r="S20" s="67">
        <v>6.89</v>
      </c>
      <c r="T20" s="67">
        <v>56.4</v>
      </c>
      <c r="U20" s="67">
        <v>41.72</v>
      </c>
      <c r="V20" s="67">
        <v>35.76</v>
      </c>
      <c r="W20" s="67">
        <v>6.86</v>
      </c>
      <c r="X20" s="67">
        <v>0</v>
      </c>
      <c r="Y20" s="67">
        <v>0</v>
      </c>
      <c r="Z20" s="67">
        <v>0</v>
      </c>
      <c r="AA20" s="67">
        <v>0</v>
      </c>
      <c r="AB20" s="67">
        <v>7.35</v>
      </c>
      <c r="AC20" s="67">
        <v>6.8630000000000004</v>
      </c>
      <c r="AD20" s="67">
        <v>0</v>
      </c>
      <c r="AE20" s="67">
        <v>35.700000000000003</v>
      </c>
      <c r="AF20" s="67">
        <v>0</v>
      </c>
      <c r="AG20" s="67">
        <v>0</v>
      </c>
      <c r="AH20" s="75"/>
      <c r="AI20" s="24"/>
      <c r="AJ20" s="26"/>
      <c r="AK20" s="26"/>
      <c r="AL20" s="26"/>
      <c r="AM20" s="26"/>
      <c r="AN20" s="26"/>
    </row>
    <row r="21" spans="1:40" s="206" customFormat="1" ht="84" customHeight="1" x14ac:dyDescent="0.25">
      <c r="A21" s="462" t="s">
        <v>222</v>
      </c>
      <c r="B21" s="418"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133.5" customHeight="1" x14ac:dyDescent="0.25">
      <c r="A22" s="464"/>
      <c r="B22" s="419"/>
      <c r="C22" s="389"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0" customFormat="1" ht="96" customHeight="1" x14ac:dyDescent="0.25">
      <c r="A23" s="462" t="s">
        <v>224</v>
      </c>
      <c r="B23" s="418" t="s">
        <v>225</v>
      </c>
      <c r="C23" s="69" t="s">
        <v>20</v>
      </c>
      <c r="D23" s="70">
        <f>D1</f>
        <v>0</v>
      </c>
      <c r="E23" s="165">
        <f>E24</f>
        <v>262.50000000000006</v>
      </c>
      <c r="F23" s="70">
        <f t="shared" si="10"/>
        <v>85.158000000000001</v>
      </c>
      <c r="G23" s="165">
        <f t="shared" si="10"/>
        <v>85.158000000000001</v>
      </c>
      <c r="H23" s="70">
        <f t="shared" si="5"/>
        <v>0</v>
      </c>
      <c r="I23" s="70">
        <f t="shared" si="6"/>
        <v>32.44114285714285</v>
      </c>
      <c r="J23" s="71">
        <f t="shared" ref="J23:AG23" si="12">J24</f>
        <v>0</v>
      </c>
      <c r="K23" s="71">
        <f t="shared" si="12"/>
        <v>0</v>
      </c>
      <c r="L23" s="71">
        <f t="shared" si="12"/>
        <v>8.3520000000000003</v>
      </c>
      <c r="M23" s="71">
        <v>8.35</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3" t="s">
        <v>398</v>
      </c>
      <c r="AI23" s="133"/>
      <c r="AJ23" s="406"/>
      <c r="AK23" s="406"/>
      <c r="AL23" s="406"/>
      <c r="AM23" s="406"/>
      <c r="AN23" s="406"/>
    </row>
    <row r="24" spans="1:40" s="18" customFormat="1" ht="107.25" customHeight="1" x14ac:dyDescent="0.25">
      <c r="A24" s="464"/>
      <c r="B24" s="419"/>
      <c r="C24" s="389" t="s">
        <v>21</v>
      </c>
      <c r="D24" s="74">
        <f>SUM(J24,L24,N24,P24,R24,T24,V24,X24,Z24,AB24,AD24,AF24)</f>
        <v>262.50000000000006</v>
      </c>
      <c r="E24" s="170">
        <f>J24+L24+N24+P24+R24+T24+V24+X24+Z24+AB24+AD24</f>
        <v>262.50000000000006</v>
      </c>
      <c r="F24" s="74">
        <f>G24</f>
        <v>85.158000000000001</v>
      </c>
      <c r="G24" s="170">
        <f>SUM(K24,M24,O24,Q24,S24,U24,W24,Y24,AA24,AC24,AE24,AG24)</f>
        <v>85.158000000000001</v>
      </c>
      <c r="H24" s="74">
        <f t="shared" si="5"/>
        <v>32.44114285714285</v>
      </c>
      <c r="I24" s="74">
        <f t="shared" si="6"/>
        <v>32.44114285714285</v>
      </c>
      <c r="J24" s="67">
        <v>0</v>
      </c>
      <c r="K24" s="67">
        <v>0</v>
      </c>
      <c r="L24" s="67">
        <v>8.3520000000000003</v>
      </c>
      <c r="M24" s="67">
        <v>8.35</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399</v>
      </c>
      <c r="AI24" s="133"/>
      <c r="AJ24" s="134"/>
      <c r="AK24" s="134"/>
      <c r="AL24" s="134"/>
      <c r="AM24" s="134"/>
      <c r="AN24" s="134"/>
    </row>
    <row r="25" spans="1:40" s="209" customFormat="1" ht="97.5" customHeight="1" x14ac:dyDescent="0.25">
      <c r="A25" s="462" t="s">
        <v>226</v>
      </c>
      <c r="B25" s="418"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6" t="s">
        <v>400</v>
      </c>
      <c r="AI25" s="133"/>
      <c r="AJ25" s="406"/>
      <c r="AK25" s="406"/>
      <c r="AL25" s="406"/>
      <c r="AM25" s="406"/>
      <c r="AN25" s="406"/>
    </row>
    <row r="26" spans="1:40" s="18" customFormat="1" ht="58.5" customHeight="1" x14ac:dyDescent="0.25">
      <c r="A26" s="464"/>
      <c r="B26" s="419"/>
      <c r="C26" s="389"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7"/>
      <c r="AI26" s="133"/>
      <c r="AJ26" s="134"/>
      <c r="AK26" s="134"/>
      <c r="AL26" s="134"/>
      <c r="AM26" s="134"/>
      <c r="AN26" s="134"/>
    </row>
    <row r="27" spans="1:40" s="22" customFormat="1" ht="18.75" customHeight="1" x14ac:dyDescent="0.25">
      <c r="A27" s="132" t="s">
        <v>153</v>
      </c>
      <c r="B27" s="502" t="s">
        <v>228</v>
      </c>
      <c r="C27" s="503"/>
      <c r="D27" s="503"/>
      <c r="E27" s="503"/>
      <c r="F27" s="503"/>
      <c r="G27" s="503"/>
      <c r="H27" s="503"/>
      <c r="I27" s="503"/>
      <c r="J27" s="503"/>
      <c r="K27" s="503"/>
      <c r="L27" s="503"/>
      <c r="M27" s="503"/>
      <c r="N27" s="503"/>
      <c r="O27" s="503"/>
      <c r="P27" s="503"/>
      <c r="Q27" s="503"/>
      <c r="R27" s="503"/>
      <c r="S27" s="503"/>
      <c r="T27" s="503"/>
      <c r="U27" s="503"/>
      <c r="V27" s="503"/>
      <c r="W27" s="503"/>
      <c r="X27" s="503"/>
      <c r="Y27" s="503"/>
      <c r="Z27" s="503"/>
      <c r="AA27" s="503"/>
      <c r="AB27" s="503"/>
      <c r="AC27" s="503"/>
      <c r="AD27" s="503"/>
      <c r="AE27" s="503"/>
      <c r="AF27" s="503"/>
      <c r="AG27" s="504"/>
      <c r="AH27" s="75"/>
      <c r="AI27" s="26"/>
      <c r="AJ27" s="26"/>
      <c r="AK27" s="26"/>
      <c r="AL27" s="26"/>
      <c r="AM27" s="26"/>
      <c r="AN27" s="26"/>
    </row>
    <row r="28" spans="1:40" s="208" customFormat="1" ht="63.75" customHeight="1" x14ac:dyDescent="0.25">
      <c r="A28" s="462" t="s">
        <v>154</v>
      </c>
      <c r="B28" s="418"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3" t="s">
        <v>395</v>
      </c>
      <c r="AI28" s="133"/>
      <c r="AJ28" s="406"/>
      <c r="AK28" s="406"/>
      <c r="AL28" s="406"/>
      <c r="AM28" s="406"/>
      <c r="AN28" s="406"/>
    </row>
    <row r="29" spans="1:40" s="18" customFormat="1" ht="61.5" customHeight="1" x14ac:dyDescent="0.25">
      <c r="A29" s="464"/>
      <c r="B29" s="419"/>
      <c r="C29" s="389"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7" customFormat="1" ht="67.5" customHeight="1" x14ac:dyDescent="0.25">
      <c r="A30" s="462" t="s">
        <v>155</v>
      </c>
      <c r="B30" s="418"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3" t="s">
        <v>397</v>
      </c>
      <c r="AI30" s="133"/>
      <c r="AJ30" s="406"/>
      <c r="AK30" s="406"/>
      <c r="AL30" s="406"/>
      <c r="AM30" s="406"/>
      <c r="AN30" s="406"/>
    </row>
    <row r="31" spans="1:40" s="18" customFormat="1" ht="43.5" customHeight="1" x14ac:dyDescent="0.25">
      <c r="A31" s="464"/>
      <c r="B31" s="419"/>
      <c r="C31" s="389"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2" customFormat="1" ht="63" customHeight="1" x14ac:dyDescent="0.25">
      <c r="A32" s="462" t="s">
        <v>231</v>
      </c>
      <c r="B32" s="418"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3" t="s">
        <v>396</v>
      </c>
      <c r="AI32" s="24"/>
      <c r="AJ32" s="25"/>
      <c r="AK32" s="25"/>
      <c r="AL32" s="25"/>
      <c r="AM32" s="25"/>
      <c r="AN32" s="25"/>
    </row>
    <row r="33" spans="1:40 16384:16384" s="22" customFormat="1" ht="48" customHeight="1" x14ac:dyDescent="0.25">
      <c r="A33" s="464"/>
      <c r="B33" s="419"/>
      <c r="C33" s="389"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8" customFormat="1" ht="202.5" customHeight="1" x14ac:dyDescent="0.25">
      <c r="A34" s="462" t="s">
        <v>233</v>
      </c>
      <c r="B34" s="418"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69" t="s">
        <v>353</v>
      </c>
      <c r="AI34" s="133"/>
      <c r="AJ34" s="406"/>
      <c r="AK34" s="406"/>
      <c r="AL34" s="406"/>
      <c r="AM34" s="406"/>
      <c r="AN34" s="406"/>
    </row>
    <row r="35" spans="1:40 16384:16384" s="18" customFormat="1" ht="119.25" customHeight="1" x14ac:dyDescent="0.25">
      <c r="A35" s="464"/>
      <c r="B35" s="419"/>
      <c r="C35" s="389"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403" customFormat="1" ht="119.25" customHeight="1" x14ac:dyDescent="0.25">
      <c r="A36" s="132"/>
      <c r="B36" s="400"/>
      <c r="C36" s="389" t="s">
        <v>21</v>
      </c>
      <c r="D36" s="396"/>
      <c r="E36" s="397"/>
      <c r="F36" s="396"/>
      <c r="G36" s="397"/>
      <c r="H36" s="396"/>
      <c r="I36" s="396"/>
      <c r="J36" s="398"/>
      <c r="K36" s="398"/>
      <c r="L36" s="398"/>
      <c r="M36" s="398"/>
      <c r="N36" s="398"/>
      <c r="O36" s="398"/>
      <c r="P36" s="398"/>
      <c r="Q36" s="398"/>
      <c r="R36" s="398"/>
      <c r="S36" s="398"/>
      <c r="T36" s="398"/>
      <c r="U36" s="398"/>
      <c r="V36" s="398"/>
      <c r="W36" s="398"/>
      <c r="X36" s="398"/>
      <c r="Y36" s="398"/>
      <c r="Z36" s="398"/>
      <c r="AA36" s="398"/>
      <c r="AB36" s="398"/>
      <c r="AC36" s="398"/>
      <c r="AD36" s="398"/>
      <c r="AE36" s="398">
        <v>60</v>
      </c>
      <c r="AF36" s="398"/>
      <c r="AG36" s="399"/>
      <c r="AH36" s="75"/>
      <c r="AI36" s="401"/>
      <c r="XFD36" s="402"/>
    </row>
    <row r="37" spans="1:40 16384:16384" s="22" customFormat="1" ht="18.75" customHeight="1" x14ac:dyDescent="0.25">
      <c r="A37" s="132" t="s">
        <v>156</v>
      </c>
      <c r="B37" s="502" t="s">
        <v>32</v>
      </c>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c r="AA37" s="503"/>
      <c r="AB37" s="503"/>
      <c r="AC37" s="503"/>
      <c r="AD37" s="503"/>
      <c r="AE37" s="503"/>
      <c r="AF37" s="503"/>
      <c r="AG37" s="504"/>
      <c r="AH37" s="75"/>
      <c r="AI37" s="26"/>
      <c r="AJ37" s="26"/>
      <c r="AK37" s="26"/>
      <c r="AL37" s="26"/>
      <c r="AM37" s="26"/>
      <c r="AN37" s="26"/>
    </row>
    <row r="38" spans="1:40 16384:16384" s="211" customFormat="1" ht="82.5" customHeight="1" x14ac:dyDescent="0.25">
      <c r="A38" s="462" t="s">
        <v>157</v>
      </c>
      <c r="B38" s="418"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69" t="s">
        <v>394</v>
      </c>
      <c r="AI38" s="24"/>
      <c r="AJ38" s="25"/>
      <c r="AK38" s="25"/>
      <c r="AL38" s="25"/>
      <c r="AM38" s="25"/>
      <c r="AN38" s="25"/>
    </row>
    <row r="39" spans="1:40 16384:16384" s="22" customFormat="1" ht="63.75" customHeight="1" x14ac:dyDescent="0.25">
      <c r="A39" s="464"/>
      <c r="B39" s="419"/>
      <c r="C39" s="389"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0"/>
      <c r="D40" s="130"/>
      <c r="AE40" s="130"/>
      <c r="AF40" s="130"/>
      <c r="AG40" s="130"/>
      <c r="AH40" s="130"/>
      <c r="AI40" s="130"/>
      <c r="AJ40" s="130"/>
      <c r="AK40" s="130"/>
      <c r="AL40" s="130"/>
      <c r="AM40" s="130"/>
      <c r="AN40" s="130"/>
    </row>
    <row r="41" spans="1:40 16384:16384" x14ac:dyDescent="0.25">
      <c r="A41" s="130"/>
      <c r="B41" s="130"/>
      <c r="C41" s="270"/>
      <c r="D41" s="130"/>
      <c r="AE41" s="130"/>
      <c r="AF41" s="130"/>
      <c r="AG41" s="130"/>
      <c r="AH41" s="130"/>
      <c r="AI41" s="130"/>
      <c r="AJ41" s="130"/>
      <c r="AK41" s="130"/>
      <c r="AL41" s="130"/>
      <c r="AM41" s="130"/>
      <c r="AN41" s="130"/>
    </row>
    <row r="42" spans="1:40 16384:16384" x14ac:dyDescent="0.25">
      <c r="A42" s="130"/>
      <c r="B42" s="130"/>
      <c r="C42" s="270"/>
      <c r="D42" s="130"/>
      <c r="AE42" s="130"/>
      <c r="AF42" s="130"/>
      <c r="AG42" s="130"/>
      <c r="AH42" s="130"/>
      <c r="AI42" s="130"/>
      <c r="AJ42" s="130"/>
      <c r="AK42" s="130"/>
      <c r="AL42" s="130"/>
      <c r="AM42" s="130"/>
      <c r="AN42" s="130"/>
    </row>
    <row r="43" spans="1:40 16384:16384" x14ac:dyDescent="0.25">
      <c r="A43" s="130"/>
      <c r="B43" s="130"/>
      <c r="C43" s="270"/>
      <c r="D43" s="130"/>
      <c r="AE43" s="130"/>
      <c r="AF43" s="130"/>
      <c r="AG43" s="130"/>
      <c r="AH43" s="130"/>
      <c r="AI43" s="130"/>
      <c r="AJ43" s="130"/>
      <c r="AK43" s="130"/>
      <c r="AL43" s="130"/>
      <c r="AM43" s="130"/>
      <c r="AN43" s="130"/>
    </row>
    <row r="44" spans="1:40 16384:16384" x14ac:dyDescent="0.25">
      <c r="A44" s="130"/>
      <c r="B44" s="130"/>
      <c r="C44" s="270"/>
      <c r="D44" s="130"/>
      <c r="AE44" s="130"/>
      <c r="AF44" s="130"/>
      <c r="AG44" s="130"/>
      <c r="AH44" s="130"/>
      <c r="AI44" s="130"/>
      <c r="AJ44" s="130"/>
      <c r="AK44" s="130"/>
      <c r="AL44" s="130"/>
      <c r="AM44" s="130"/>
      <c r="AN44" s="130"/>
    </row>
    <row r="45" spans="1:40 16384:16384" x14ac:dyDescent="0.25">
      <c r="A45" s="130"/>
      <c r="B45" s="130"/>
      <c r="C45" s="270"/>
      <c r="D45" s="130"/>
      <c r="AE45" s="130"/>
      <c r="AF45" s="130"/>
      <c r="AG45" s="130"/>
      <c r="AH45" s="130"/>
      <c r="AI45" s="130"/>
      <c r="AJ45" s="130"/>
      <c r="AK45" s="130"/>
      <c r="AL45" s="130"/>
      <c r="AM45" s="130"/>
      <c r="AN45" s="130"/>
    </row>
    <row r="46" spans="1:40 16384:16384" x14ac:dyDescent="0.25">
      <c r="A46" s="130"/>
      <c r="B46" s="130"/>
      <c r="C46" s="270"/>
      <c r="D46" s="130"/>
      <c r="AE46" s="130"/>
      <c r="AF46" s="130"/>
      <c r="AG46" s="130"/>
      <c r="AH46" s="130"/>
      <c r="AI46" s="130"/>
      <c r="AJ46" s="130"/>
      <c r="AK46" s="130"/>
      <c r="AL46" s="130"/>
      <c r="AM46" s="130"/>
      <c r="AN46" s="130"/>
    </row>
    <row r="47" spans="1:40 16384:16384" x14ac:dyDescent="0.25">
      <c r="A47" s="130"/>
      <c r="B47" s="130"/>
      <c r="C47" s="270"/>
      <c r="D47" s="130"/>
      <c r="AE47" s="130"/>
      <c r="AF47" s="130"/>
      <c r="AG47" s="130"/>
      <c r="AH47" s="130"/>
      <c r="AI47" s="130"/>
      <c r="AJ47" s="130"/>
      <c r="AK47" s="130"/>
      <c r="AL47" s="130"/>
      <c r="AM47" s="130"/>
      <c r="AN47" s="130"/>
    </row>
    <row r="48" spans="1:40 16384:16384" x14ac:dyDescent="0.25">
      <c r="A48" s="130"/>
      <c r="B48" s="130"/>
      <c r="C48" s="270"/>
      <c r="D48" s="130"/>
      <c r="AE48" s="130"/>
      <c r="AF48" s="130"/>
      <c r="AG48" s="130"/>
      <c r="AH48" s="130"/>
      <c r="AI48" s="130"/>
      <c r="AJ48" s="130"/>
      <c r="AK48" s="130"/>
      <c r="AL48" s="130"/>
      <c r="AM48" s="130"/>
      <c r="AN48" s="130"/>
    </row>
    <row r="49" spans="1:40" x14ac:dyDescent="0.25">
      <c r="A49" s="130"/>
      <c r="B49" s="130"/>
      <c r="C49" s="270"/>
      <c r="D49" s="130"/>
      <c r="AE49" s="130"/>
      <c r="AF49" s="130"/>
      <c r="AG49" s="130"/>
      <c r="AH49" s="130"/>
      <c r="AI49" s="130"/>
      <c r="AJ49" s="130"/>
      <c r="AK49" s="130"/>
      <c r="AL49" s="130"/>
      <c r="AM49" s="130"/>
      <c r="AN49" s="130"/>
    </row>
    <row r="50" spans="1:40" x14ac:dyDescent="0.25">
      <c r="A50" s="130"/>
      <c r="B50" s="130"/>
      <c r="C50" s="270"/>
      <c r="D50" s="130"/>
      <c r="AE50" s="130"/>
      <c r="AF50" s="130"/>
      <c r="AG50" s="130"/>
      <c r="AH50" s="130"/>
      <c r="AI50" s="130"/>
      <c r="AJ50" s="130"/>
      <c r="AK50" s="130"/>
      <c r="AL50" s="130"/>
      <c r="AM50" s="130"/>
      <c r="AN50" s="130"/>
    </row>
    <row r="51" spans="1:40" x14ac:dyDescent="0.25">
      <c r="A51" s="130"/>
      <c r="B51" s="130"/>
      <c r="C51" s="270"/>
      <c r="D51" s="130"/>
      <c r="AE51" s="130"/>
      <c r="AF51" s="130"/>
      <c r="AG51" s="130"/>
      <c r="AH51" s="130"/>
      <c r="AI51" s="130"/>
      <c r="AJ51" s="130"/>
      <c r="AK51" s="130"/>
      <c r="AL51" s="130"/>
      <c r="AM51" s="130"/>
      <c r="AN51" s="130"/>
    </row>
    <row r="52" spans="1:40" x14ac:dyDescent="0.25">
      <c r="A52" s="130"/>
      <c r="B52" s="130"/>
      <c r="C52" s="270"/>
      <c r="D52" s="130"/>
      <c r="AE52" s="130"/>
      <c r="AF52" s="130"/>
      <c r="AG52" s="130"/>
      <c r="AH52" s="130"/>
      <c r="AI52" s="130"/>
      <c r="AJ52" s="130"/>
      <c r="AK52" s="130"/>
      <c r="AL52" s="130"/>
      <c r="AM52" s="130"/>
      <c r="AN52" s="130"/>
    </row>
    <row r="53" spans="1:40" x14ac:dyDescent="0.25">
      <c r="A53" s="130"/>
      <c r="B53" s="130"/>
      <c r="C53" s="270"/>
      <c r="D53" s="130"/>
      <c r="AE53" s="130"/>
      <c r="AF53" s="130"/>
      <c r="AG53" s="130"/>
      <c r="AH53" s="130"/>
      <c r="AI53" s="130"/>
      <c r="AJ53" s="130"/>
      <c r="AK53" s="130"/>
      <c r="AL53" s="130"/>
      <c r="AM53" s="130"/>
      <c r="AN53" s="130"/>
    </row>
    <row r="54" spans="1:40" x14ac:dyDescent="0.25">
      <c r="A54" s="130"/>
      <c r="B54" s="130"/>
      <c r="C54" s="270"/>
      <c r="D54" s="130"/>
      <c r="AE54" s="130"/>
      <c r="AF54" s="130"/>
      <c r="AG54" s="130"/>
      <c r="AH54" s="130"/>
      <c r="AI54" s="130"/>
      <c r="AJ54" s="130"/>
      <c r="AK54" s="130"/>
      <c r="AL54" s="130"/>
      <c r="AM54" s="130"/>
      <c r="AN54" s="130"/>
    </row>
    <row r="55" spans="1:40" x14ac:dyDescent="0.25">
      <c r="A55" s="130"/>
      <c r="B55" s="130"/>
      <c r="C55" s="270"/>
      <c r="D55" s="130"/>
      <c r="AE55" s="130"/>
      <c r="AF55" s="130"/>
      <c r="AG55" s="130"/>
      <c r="AH55" s="130"/>
      <c r="AI55" s="130"/>
      <c r="AJ55" s="130"/>
      <c r="AK55" s="130"/>
      <c r="AL55" s="130"/>
      <c r="AM55" s="130"/>
      <c r="AN55" s="130"/>
    </row>
    <row r="56" spans="1:40" x14ac:dyDescent="0.25">
      <c r="A56" s="130"/>
      <c r="B56" s="130"/>
      <c r="C56" s="270"/>
      <c r="D56" s="130"/>
      <c r="AE56" s="130"/>
      <c r="AF56" s="130"/>
      <c r="AG56" s="130"/>
      <c r="AH56" s="130"/>
      <c r="AI56" s="130"/>
      <c r="AJ56" s="130"/>
      <c r="AK56" s="130"/>
      <c r="AL56" s="130"/>
      <c r="AM56" s="130"/>
      <c r="AN56" s="130"/>
    </row>
    <row r="57" spans="1:40" x14ac:dyDescent="0.25">
      <c r="A57" s="130"/>
      <c r="B57" s="130"/>
      <c r="C57" s="270"/>
      <c r="D57" s="130"/>
      <c r="AE57" s="130"/>
      <c r="AF57" s="130"/>
      <c r="AG57" s="130"/>
      <c r="AH57" s="130"/>
      <c r="AI57" s="130"/>
      <c r="AJ57" s="130"/>
      <c r="AK57" s="130"/>
      <c r="AL57" s="130"/>
      <c r="AM57" s="130"/>
      <c r="AN57" s="130"/>
    </row>
    <row r="58" spans="1:40" x14ac:dyDescent="0.25">
      <c r="A58" s="130"/>
      <c r="B58" s="130"/>
      <c r="C58" s="270"/>
      <c r="D58" s="130"/>
      <c r="AE58" s="130"/>
      <c r="AF58" s="130"/>
      <c r="AG58" s="130"/>
      <c r="AH58" s="130"/>
      <c r="AI58" s="130"/>
      <c r="AJ58" s="130"/>
      <c r="AK58" s="130"/>
      <c r="AL58" s="130"/>
      <c r="AM58" s="130"/>
      <c r="AN58" s="130"/>
    </row>
    <row r="59" spans="1:40" x14ac:dyDescent="0.25">
      <c r="A59" s="130"/>
      <c r="B59" s="130"/>
      <c r="C59" s="270"/>
      <c r="D59" s="130"/>
      <c r="AE59" s="130"/>
      <c r="AF59" s="130"/>
      <c r="AG59" s="130"/>
      <c r="AH59" s="130"/>
      <c r="AI59" s="130"/>
      <c r="AJ59" s="130"/>
      <c r="AK59" s="130"/>
      <c r="AL59" s="130"/>
      <c r="AM59" s="130"/>
      <c r="AN59" s="130"/>
    </row>
    <row r="60" spans="1:40" x14ac:dyDescent="0.25">
      <c r="A60" s="130"/>
      <c r="B60" s="130"/>
      <c r="C60" s="270"/>
      <c r="D60" s="130"/>
      <c r="AE60" s="130"/>
      <c r="AF60" s="130"/>
      <c r="AG60" s="130"/>
      <c r="AH60" s="130"/>
      <c r="AI60" s="130"/>
      <c r="AJ60" s="130"/>
      <c r="AK60" s="130"/>
      <c r="AL60" s="130"/>
      <c r="AM60" s="130"/>
      <c r="AN60" s="130"/>
    </row>
    <row r="61" spans="1:40" x14ac:dyDescent="0.25">
      <c r="A61" s="130"/>
      <c r="B61" s="130"/>
      <c r="C61" s="270"/>
      <c r="D61" s="130"/>
      <c r="AE61" s="130"/>
      <c r="AF61" s="130"/>
      <c r="AG61" s="130"/>
      <c r="AH61" s="130"/>
      <c r="AI61" s="130"/>
      <c r="AJ61" s="130"/>
      <c r="AK61" s="130"/>
      <c r="AL61" s="130"/>
      <c r="AM61" s="130"/>
      <c r="AN61" s="130"/>
    </row>
    <row r="62" spans="1:40" x14ac:dyDescent="0.25">
      <c r="A62" s="130"/>
      <c r="B62" s="130"/>
      <c r="C62" s="270"/>
      <c r="D62" s="130"/>
      <c r="AE62" s="130"/>
      <c r="AF62" s="130"/>
      <c r="AG62" s="130"/>
      <c r="AH62" s="130"/>
      <c r="AI62" s="130"/>
      <c r="AJ62" s="130"/>
      <c r="AK62" s="130"/>
      <c r="AL62" s="130"/>
      <c r="AM62" s="130"/>
      <c r="AN62" s="130"/>
    </row>
    <row r="63" spans="1:40" x14ac:dyDescent="0.25">
      <c r="A63" s="130"/>
      <c r="B63" s="130"/>
      <c r="C63" s="270"/>
      <c r="D63" s="130"/>
      <c r="AE63" s="130"/>
      <c r="AF63" s="130"/>
      <c r="AG63" s="130"/>
      <c r="AH63" s="130"/>
      <c r="AI63" s="130"/>
      <c r="AJ63" s="130"/>
      <c r="AK63" s="130"/>
      <c r="AL63" s="130"/>
      <c r="AM63" s="130"/>
      <c r="AN63" s="130"/>
    </row>
    <row r="64" spans="1:40" x14ac:dyDescent="0.25">
      <c r="A64" s="130"/>
      <c r="B64" s="130"/>
      <c r="C64" s="270"/>
      <c r="D64" s="130"/>
      <c r="AE64" s="130"/>
      <c r="AF64" s="130"/>
      <c r="AG64" s="130"/>
      <c r="AH64" s="130"/>
      <c r="AI64" s="130"/>
      <c r="AJ64" s="130"/>
      <c r="AK64" s="130"/>
      <c r="AL64" s="130"/>
      <c r="AM64" s="130"/>
      <c r="AN64" s="130"/>
    </row>
    <row r="65" spans="1:40" x14ac:dyDescent="0.25">
      <c r="A65" s="130"/>
      <c r="B65" s="130"/>
      <c r="C65" s="270"/>
      <c r="D65" s="130"/>
      <c r="AE65" s="130"/>
      <c r="AF65" s="130"/>
      <c r="AG65" s="130"/>
      <c r="AH65" s="130"/>
      <c r="AI65" s="130"/>
      <c r="AJ65" s="130"/>
      <c r="AK65" s="130"/>
      <c r="AL65" s="130"/>
      <c r="AM65" s="130"/>
      <c r="AN65" s="130"/>
    </row>
    <row r="66" spans="1:40" x14ac:dyDescent="0.25">
      <c r="A66" s="130"/>
      <c r="B66" s="130"/>
      <c r="C66" s="270"/>
      <c r="D66" s="130"/>
      <c r="AE66" s="130"/>
      <c r="AF66" s="130"/>
      <c r="AG66" s="130"/>
      <c r="AH66" s="130"/>
      <c r="AI66" s="130"/>
      <c r="AJ66" s="130"/>
      <c r="AK66" s="130"/>
      <c r="AL66" s="130"/>
      <c r="AM66" s="130"/>
      <c r="AN66" s="130"/>
    </row>
    <row r="67" spans="1:40" x14ac:dyDescent="0.25">
      <c r="A67" s="130"/>
      <c r="B67" s="130"/>
      <c r="C67" s="270"/>
      <c r="D67" s="130"/>
      <c r="AE67" s="130"/>
      <c r="AF67" s="130"/>
      <c r="AG67" s="130"/>
      <c r="AH67" s="130"/>
      <c r="AI67" s="130"/>
      <c r="AJ67" s="130"/>
      <c r="AK67" s="130"/>
      <c r="AL67" s="130"/>
      <c r="AM67" s="130"/>
      <c r="AN67" s="130"/>
    </row>
    <row r="68" spans="1:40" x14ac:dyDescent="0.25">
      <c r="A68" s="130"/>
      <c r="B68" s="130"/>
      <c r="C68" s="270"/>
      <c r="D68" s="130"/>
      <c r="AE68" s="130"/>
      <c r="AF68" s="130"/>
      <c r="AG68" s="130"/>
      <c r="AH68" s="130"/>
      <c r="AI68" s="130"/>
      <c r="AJ68" s="130"/>
      <c r="AK68" s="130"/>
      <c r="AL68" s="130"/>
      <c r="AM68" s="130"/>
      <c r="AN68" s="130"/>
    </row>
    <row r="69" spans="1:40" x14ac:dyDescent="0.25">
      <c r="A69" s="130"/>
      <c r="B69" s="130"/>
      <c r="C69" s="270"/>
      <c r="D69" s="130"/>
      <c r="AE69" s="130"/>
      <c r="AF69" s="130"/>
      <c r="AG69" s="130"/>
      <c r="AH69" s="130"/>
      <c r="AI69" s="130"/>
      <c r="AJ69" s="130"/>
      <c r="AK69" s="130"/>
      <c r="AL69" s="130"/>
      <c r="AM69" s="130"/>
      <c r="AN69" s="130"/>
    </row>
    <row r="70" spans="1:40" x14ac:dyDescent="0.25">
      <c r="A70" s="130"/>
      <c r="B70" s="130"/>
      <c r="C70" s="270"/>
      <c r="D70" s="130"/>
      <c r="AE70" s="130"/>
      <c r="AF70" s="130"/>
      <c r="AG70" s="130"/>
      <c r="AH70" s="130"/>
      <c r="AI70" s="130"/>
      <c r="AJ70" s="130"/>
      <c r="AK70" s="130"/>
      <c r="AL70" s="130"/>
      <c r="AM70" s="130"/>
      <c r="AN70" s="130"/>
    </row>
    <row r="71" spans="1:40" x14ac:dyDescent="0.25">
      <c r="A71" s="130"/>
      <c r="B71" s="130"/>
      <c r="C71" s="270"/>
      <c r="D71" s="130"/>
      <c r="AE71" s="130"/>
      <c r="AF71" s="130"/>
      <c r="AG71" s="130"/>
      <c r="AH71" s="130"/>
      <c r="AI71" s="130"/>
      <c r="AJ71" s="130"/>
      <c r="AK71" s="130"/>
      <c r="AL71" s="130"/>
      <c r="AM71" s="130"/>
      <c r="AN71" s="130"/>
    </row>
    <row r="72" spans="1:40" x14ac:dyDescent="0.25">
      <c r="A72" s="130"/>
      <c r="B72" s="130"/>
      <c r="C72" s="270"/>
      <c r="D72" s="130"/>
      <c r="AE72" s="130"/>
      <c r="AF72" s="130"/>
      <c r="AG72" s="130"/>
      <c r="AH72" s="130"/>
      <c r="AI72" s="130"/>
      <c r="AJ72" s="130"/>
      <c r="AK72" s="130"/>
      <c r="AL72" s="130"/>
      <c r="AM72" s="130"/>
      <c r="AN72" s="130"/>
    </row>
    <row r="73" spans="1:40" x14ac:dyDescent="0.25">
      <c r="A73" s="130"/>
      <c r="B73" s="130"/>
      <c r="C73" s="270"/>
      <c r="D73" s="130"/>
      <c r="AE73" s="130"/>
      <c r="AF73" s="130"/>
      <c r="AG73" s="130"/>
      <c r="AH73" s="130"/>
      <c r="AI73" s="130"/>
      <c r="AJ73" s="130"/>
      <c r="AK73" s="130"/>
      <c r="AL73" s="130"/>
      <c r="AM73" s="130"/>
      <c r="AN73" s="130"/>
    </row>
    <row r="74" spans="1:40" x14ac:dyDescent="0.25">
      <c r="A74" s="130"/>
      <c r="B74" s="130"/>
      <c r="C74" s="270"/>
      <c r="D74" s="130"/>
      <c r="AE74" s="130"/>
      <c r="AF74" s="130"/>
      <c r="AG74" s="130"/>
      <c r="AH74" s="130"/>
      <c r="AI74" s="130"/>
      <c r="AJ74" s="130"/>
      <c r="AK74" s="130"/>
      <c r="AL74" s="130"/>
      <c r="AM74" s="130"/>
      <c r="AN74" s="130"/>
    </row>
    <row r="75" spans="1:40" x14ac:dyDescent="0.25">
      <c r="A75" s="130"/>
      <c r="B75" s="130"/>
      <c r="C75" s="270"/>
      <c r="D75" s="130"/>
      <c r="AE75" s="130"/>
      <c r="AF75" s="130"/>
      <c r="AG75" s="130"/>
      <c r="AH75" s="130"/>
      <c r="AI75" s="130"/>
      <c r="AJ75" s="130"/>
      <c r="AK75" s="130"/>
      <c r="AL75" s="130"/>
      <c r="AM75" s="130"/>
      <c r="AN75" s="130"/>
    </row>
    <row r="76" spans="1:40" x14ac:dyDescent="0.25">
      <c r="A76" s="130"/>
      <c r="B76" s="130"/>
      <c r="C76" s="270"/>
      <c r="D76" s="130"/>
      <c r="AE76" s="130"/>
      <c r="AF76" s="130"/>
      <c r="AG76" s="130"/>
      <c r="AH76" s="130"/>
      <c r="AI76" s="130"/>
      <c r="AJ76" s="130"/>
      <c r="AK76" s="130"/>
      <c r="AL76" s="130"/>
      <c r="AM76" s="130"/>
      <c r="AN76" s="130"/>
    </row>
    <row r="77" spans="1:40" x14ac:dyDescent="0.25">
      <c r="A77" s="130"/>
      <c r="B77" s="130"/>
      <c r="C77" s="270"/>
      <c r="D77" s="130"/>
      <c r="AE77" s="130"/>
      <c r="AF77" s="130"/>
      <c r="AG77" s="130"/>
      <c r="AH77" s="130"/>
      <c r="AI77" s="130"/>
      <c r="AJ77" s="130"/>
      <c r="AK77" s="130"/>
      <c r="AL77" s="130"/>
      <c r="AM77" s="130"/>
      <c r="AN77" s="130"/>
    </row>
    <row r="78" spans="1:40" x14ac:dyDescent="0.25">
      <c r="A78" s="130"/>
      <c r="B78" s="130"/>
      <c r="C78" s="270"/>
      <c r="D78" s="130"/>
      <c r="AE78" s="130"/>
      <c r="AF78" s="130"/>
      <c r="AG78" s="130"/>
      <c r="AH78" s="130"/>
      <c r="AI78" s="130"/>
      <c r="AJ78" s="130"/>
      <c r="AK78" s="130"/>
      <c r="AL78" s="130"/>
      <c r="AM78" s="130"/>
      <c r="AN78" s="130"/>
    </row>
    <row r="79" spans="1:40" x14ac:dyDescent="0.25">
      <c r="A79" s="130"/>
      <c r="B79" s="130"/>
      <c r="C79" s="270"/>
      <c r="D79" s="130"/>
      <c r="AE79" s="130"/>
      <c r="AF79" s="130"/>
      <c r="AG79" s="130"/>
      <c r="AH79" s="130"/>
      <c r="AI79" s="130"/>
      <c r="AJ79" s="130"/>
      <c r="AK79" s="130"/>
      <c r="AL79" s="130"/>
      <c r="AM79" s="130"/>
      <c r="AN79" s="130"/>
    </row>
    <row r="80" spans="1:40" x14ac:dyDescent="0.25">
      <c r="A80" s="130"/>
      <c r="B80" s="130"/>
      <c r="C80" s="270"/>
      <c r="D80" s="130"/>
      <c r="AE80" s="130"/>
      <c r="AF80" s="130"/>
      <c r="AG80" s="130"/>
      <c r="AH80" s="130"/>
      <c r="AI80" s="130"/>
      <c r="AJ80" s="130"/>
      <c r="AK80" s="130"/>
      <c r="AL80" s="130"/>
      <c r="AM80" s="130"/>
      <c r="AN80" s="130"/>
    </row>
    <row r="81" spans="1:40" x14ac:dyDescent="0.25">
      <c r="A81" s="130"/>
      <c r="B81" s="130"/>
      <c r="C81" s="270"/>
      <c r="D81" s="130"/>
      <c r="AE81" s="130"/>
      <c r="AF81" s="130"/>
      <c r="AG81" s="130"/>
      <c r="AH81" s="130"/>
      <c r="AI81" s="130"/>
      <c r="AJ81" s="130"/>
      <c r="AK81" s="130"/>
      <c r="AL81" s="130"/>
      <c r="AM81" s="130"/>
      <c r="AN81" s="130"/>
    </row>
    <row r="82" spans="1:40" x14ac:dyDescent="0.25">
      <c r="A82" s="130"/>
      <c r="B82" s="130"/>
      <c r="C82" s="270"/>
      <c r="D82" s="130"/>
      <c r="AE82" s="130"/>
      <c r="AF82" s="130"/>
      <c r="AG82" s="130"/>
      <c r="AH82" s="130"/>
      <c r="AI82" s="130"/>
      <c r="AJ82" s="130"/>
      <c r="AK82" s="130"/>
      <c r="AL82" s="130"/>
      <c r="AM82" s="130"/>
      <c r="AN82" s="130"/>
    </row>
    <row r="83" spans="1:40" x14ac:dyDescent="0.25">
      <c r="A83" s="130"/>
      <c r="B83" s="130"/>
      <c r="C83" s="270"/>
      <c r="D83" s="130"/>
      <c r="AE83" s="130"/>
      <c r="AF83" s="130"/>
      <c r="AG83" s="130"/>
      <c r="AH83" s="130"/>
      <c r="AI83" s="130"/>
      <c r="AJ83" s="130"/>
      <c r="AK83" s="130"/>
      <c r="AL83" s="130"/>
      <c r="AM83" s="130"/>
      <c r="AN83" s="130"/>
    </row>
    <row r="84" spans="1:40" x14ac:dyDescent="0.25">
      <c r="A84" s="130"/>
      <c r="B84" s="130"/>
      <c r="C84" s="270"/>
      <c r="D84" s="130"/>
      <c r="AE84" s="130"/>
      <c r="AF84" s="130"/>
      <c r="AG84" s="130"/>
      <c r="AH84" s="130"/>
      <c r="AI84" s="130"/>
      <c r="AJ84" s="130"/>
      <c r="AK84" s="130"/>
      <c r="AL84" s="130"/>
      <c r="AM84" s="130"/>
      <c r="AN84" s="130"/>
    </row>
    <row r="85" spans="1:40" x14ac:dyDescent="0.25">
      <c r="A85" s="130"/>
      <c r="B85" s="130"/>
      <c r="C85" s="270"/>
      <c r="D85" s="130"/>
      <c r="AE85" s="130"/>
      <c r="AF85" s="130"/>
      <c r="AG85" s="130"/>
      <c r="AH85" s="130"/>
      <c r="AI85" s="130"/>
      <c r="AJ85" s="130"/>
      <c r="AK85" s="130"/>
      <c r="AL85" s="130"/>
      <c r="AM85" s="130"/>
      <c r="AN85" s="130"/>
    </row>
    <row r="86" spans="1:40" x14ac:dyDescent="0.25">
      <c r="A86" s="130"/>
      <c r="B86" s="130"/>
      <c r="C86" s="270"/>
      <c r="D86" s="130"/>
      <c r="AE86" s="130"/>
      <c r="AF86" s="130"/>
      <c r="AG86" s="130"/>
      <c r="AH86" s="130"/>
      <c r="AI86" s="130"/>
      <c r="AJ86" s="130"/>
      <c r="AK86" s="130"/>
      <c r="AL86" s="130"/>
      <c r="AM86" s="130"/>
      <c r="AN86" s="130"/>
    </row>
    <row r="87" spans="1:40" x14ac:dyDescent="0.25">
      <c r="A87" s="130"/>
      <c r="B87" s="130"/>
      <c r="C87" s="270"/>
      <c r="D87" s="130"/>
      <c r="AE87" s="130"/>
      <c r="AF87" s="130"/>
      <c r="AG87" s="130"/>
      <c r="AH87" s="130"/>
      <c r="AI87" s="130"/>
      <c r="AJ87" s="130"/>
      <c r="AK87" s="130"/>
      <c r="AL87" s="130"/>
      <c r="AM87" s="130"/>
      <c r="AN87" s="130"/>
    </row>
    <row r="88" spans="1:40" x14ac:dyDescent="0.25">
      <c r="A88" s="130"/>
      <c r="B88" s="130"/>
      <c r="C88" s="270"/>
      <c r="D88" s="130"/>
      <c r="AE88" s="130"/>
      <c r="AF88" s="130"/>
      <c r="AG88" s="130"/>
      <c r="AH88" s="130"/>
      <c r="AI88" s="130"/>
      <c r="AJ88" s="130"/>
      <c r="AK88" s="130"/>
      <c r="AL88" s="130"/>
      <c r="AM88" s="130"/>
      <c r="AN88" s="130"/>
    </row>
    <row r="89" spans="1:40" x14ac:dyDescent="0.25">
      <c r="A89" s="130"/>
      <c r="B89" s="130"/>
      <c r="C89" s="270"/>
      <c r="D89" s="130"/>
      <c r="AE89" s="130"/>
      <c r="AF89" s="130"/>
      <c r="AG89" s="130"/>
      <c r="AH89" s="130"/>
      <c r="AI89" s="130"/>
      <c r="AJ89" s="130"/>
      <c r="AK89" s="130"/>
      <c r="AL89" s="130"/>
      <c r="AM89" s="130"/>
      <c r="AN89" s="130"/>
    </row>
    <row r="90" spans="1:40" x14ac:dyDescent="0.25">
      <c r="A90" s="130"/>
      <c r="B90" s="130"/>
      <c r="C90" s="270"/>
      <c r="D90" s="130"/>
      <c r="AE90" s="130"/>
      <c r="AF90" s="130"/>
      <c r="AG90" s="130"/>
      <c r="AH90" s="130"/>
      <c r="AI90" s="130"/>
      <c r="AJ90" s="130"/>
      <c r="AK90" s="130"/>
      <c r="AL90" s="130"/>
      <c r="AM90" s="130"/>
      <c r="AN90" s="130"/>
    </row>
    <row r="91" spans="1:40" x14ac:dyDescent="0.25">
      <c r="A91" s="130"/>
      <c r="B91" s="130"/>
      <c r="C91" s="270"/>
      <c r="D91" s="130"/>
      <c r="AE91" s="130"/>
      <c r="AF91" s="130"/>
      <c r="AG91" s="130"/>
      <c r="AH91" s="130"/>
      <c r="AI91" s="130"/>
      <c r="AJ91" s="130"/>
      <c r="AK91" s="130"/>
      <c r="AL91" s="130"/>
      <c r="AM91" s="130"/>
      <c r="AN91" s="130"/>
    </row>
    <row r="92" spans="1:40" x14ac:dyDescent="0.25">
      <c r="A92" s="130"/>
      <c r="B92" s="130"/>
      <c r="C92" s="270"/>
      <c r="D92" s="130"/>
      <c r="AE92" s="130"/>
      <c r="AF92" s="130"/>
      <c r="AG92" s="130"/>
      <c r="AH92" s="130"/>
      <c r="AI92" s="130"/>
      <c r="AJ92" s="130"/>
      <c r="AK92" s="130"/>
      <c r="AL92" s="130"/>
      <c r="AM92" s="130"/>
      <c r="AN92" s="130"/>
    </row>
    <row r="93" spans="1:40" x14ac:dyDescent="0.25">
      <c r="A93" s="130"/>
      <c r="B93" s="130"/>
      <c r="C93" s="270"/>
      <c r="D93" s="130"/>
      <c r="AE93" s="130"/>
      <c r="AF93" s="130"/>
      <c r="AG93" s="130"/>
      <c r="AH93" s="130"/>
      <c r="AI93" s="130"/>
      <c r="AJ93" s="130"/>
      <c r="AK93" s="130"/>
      <c r="AL93" s="130"/>
      <c r="AM93" s="130"/>
      <c r="AN93" s="130"/>
    </row>
    <row r="94" spans="1:40" x14ac:dyDescent="0.25">
      <c r="A94" s="130"/>
      <c r="B94" s="130"/>
      <c r="C94" s="270"/>
      <c r="D94" s="130"/>
      <c r="AE94" s="130"/>
      <c r="AF94" s="130"/>
      <c r="AG94" s="130"/>
      <c r="AH94" s="130"/>
      <c r="AI94" s="130"/>
      <c r="AJ94" s="130"/>
      <c r="AK94" s="130"/>
      <c r="AL94" s="130"/>
      <c r="AM94" s="130"/>
      <c r="AN94" s="130"/>
    </row>
    <row r="95" spans="1:40" x14ac:dyDescent="0.25">
      <c r="A95" s="130"/>
      <c r="B95" s="130"/>
      <c r="C95" s="270"/>
      <c r="D95" s="130"/>
      <c r="AE95" s="130"/>
      <c r="AF95" s="130"/>
      <c r="AG95" s="130"/>
      <c r="AH95" s="130"/>
      <c r="AI95" s="130"/>
      <c r="AJ95" s="130"/>
      <c r="AK95" s="130"/>
      <c r="AL95" s="130"/>
      <c r="AM95" s="130"/>
      <c r="AN95" s="130"/>
    </row>
    <row r="96" spans="1:40" x14ac:dyDescent="0.25">
      <c r="A96" s="130"/>
      <c r="B96" s="130"/>
      <c r="C96" s="270"/>
      <c r="D96" s="130"/>
      <c r="AE96" s="130"/>
      <c r="AF96" s="130"/>
      <c r="AG96" s="130"/>
      <c r="AH96" s="130"/>
      <c r="AI96" s="130"/>
      <c r="AJ96" s="130"/>
      <c r="AK96" s="130"/>
      <c r="AL96" s="130"/>
      <c r="AM96" s="130"/>
      <c r="AN96" s="130"/>
    </row>
    <row r="97" spans="1:40" x14ac:dyDescent="0.25">
      <c r="A97" s="130"/>
      <c r="B97" s="130"/>
      <c r="C97" s="270"/>
      <c r="D97" s="130"/>
      <c r="AE97" s="130"/>
      <c r="AF97" s="130"/>
      <c r="AG97" s="130"/>
      <c r="AH97" s="130"/>
      <c r="AI97" s="130"/>
      <c r="AJ97" s="130"/>
      <c r="AK97" s="130"/>
      <c r="AL97" s="130"/>
      <c r="AM97" s="130"/>
      <c r="AN97" s="130"/>
    </row>
    <row r="98" spans="1:40" x14ac:dyDescent="0.25">
      <c r="A98" s="130"/>
      <c r="B98" s="130"/>
      <c r="C98" s="270"/>
      <c r="D98" s="130"/>
      <c r="AE98" s="130"/>
      <c r="AF98" s="130"/>
      <c r="AG98" s="130"/>
      <c r="AH98" s="130"/>
      <c r="AI98" s="130"/>
      <c r="AJ98" s="130"/>
      <c r="AK98" s="130"/>
      <c r="AL98" s="130"/>
      <c r="AM98" s="130"/>
      <c r="AN98" s="130"/>
    </row>
    <row r="99" spans="1:40" x14ac:dyDescent="0.25">
      <c r="A99" s="130"/>
      <c r="B99" s="130"/>
      <c r="C99" s="270"/>
      <c r="D99" s="130"/>
      <c r="AE99" s="130"/>
      <c r="AF99" s="130"/>
      <c r="AG99" s="130"/>
      <c r="AH99" s="130"/>
      <c r="AI99" s="130"/>
      <c r="AJ99" s="130"/>
      <c r="AK99" s="130"/>
      <c r="AL99" s="130"/>
      <c r="AM99" s="130"/>
      <c r="AN99" s="130"/>
    </row>
    <row r="100" spans="1:40" x14ac:dyDescent="0.25">
      <c r="A100" s="130"/>
      <c r="B100" s="130"/>
      <c r="C100" s="270"/>
      <c r="D100" s="130"/>
      <c r="AE100" s="130"/>
      <c r="AF100" s="130"/>
      <c r="AG100" s="130"/>
      <c r="AH100" s="130"/>
      <c r="AI100" s="130"/>
      <c r="AJ100" s="130"/>
      <c r="AK100" s="130"/>
      <c r="AL100" s="130"/>
      <c r="AM100" s="130"/>
      <c r="AN100" s="130"/>
    </row>
    <row r="101" spans="1:40" x14ac:dyDescent="0.25">
      <c r="A101" s="130"/>
      <c r="B101" s="130"/>
      <c r="C101" s="270"/>
      <c r="D101" s="130"/>
      <c r="AE101" s="130"/>
      <c r="AF101" s="130"/>
      <c r="AG101" s="130"/>
      <c r="AH101" s="130"/>
      <c r="AI101" s="130"/>
      <c r="AJ101" s="130"/>
      <c r="AK101" s="130"/>
      <c r="AL101" s="130"/>
      <c r="AM101" s="130"/>
      <c r="AN101" s="130"/>
    </row>
    <row r="102" spans="1:40" x14ac:dyDescent="0.25">
      <c r="A102" s="130"/>
      <c r="B102" s="130"/>
      <c r="C102" s="270"/>
      <c r="D102" s="130"/>
      <c r="AE102" s="130"/>
      <c r="AF102" s="130"/>
      <c r="AG102" s="130"/>
      <c r="AH102" s="130"/>
      <c r="AI102" s="130"/>
      <c r="AJ102" s="130"/>
      <c r="AK102" s="130"/>
      <c r="AL102" s="130"/>
      <c r="AM102" s="130"/>
      <c r="AN102" s="130"/>
    </row>
    <row r="103" spans="1:40" x14ac:dyDescent="0.25">
      <c r="A103" s="130"/>
      <c r="B103" s="130"/>
      <c r="C103" s="270"/>
      <c r="D103" s="130"/>
      <c r="AE103" s="130"/>
      <c r="AF103" s="130"/>
      <c r="AG103" s="130"/>
      <c r="AH103" s="130"/>
      <c r="AI103" s="130"/>
      <c r="AJ103" s="130"/>
      <c r="AK103" s="130"/>
      <c r="AL103" s="130"/>
      <c r="AM103" s="130"/>
      <c r="AN103" s="130"/>
    </row>
    <row r="104" spans="1:40" x14ac:dyDescent="0.25">
      <c r="A104" s="130"/>
      <c r="B104" s="130"/>
      <c r="C104" s="270"/>
      <c r="D104" s="130"/>
      <c r="AE104" s="130"/>
      <c r="AF104" s="130"/>
      <c r="AG104" s="130"/>
      <c r="AH104" s="130"/>
      <c r="AI104" s="130"/>
      <c r="AJ104" s="130"/>
      <c r="AK104" s="130"/>
      <c r="AL104" s="130"/>
      <c r="AM104" s="130"/>
      <c r="AN104" s="130"/>
    </row>
    <row r="105" spans="1:40" x14ac:dyDescent="0.25">
      <c r="A105" s="130"/>
      <c r="B105" s="130"/>
      <c r="C105" s="270"/>
      <c r="D105" s="130"/>
      <c r="AE105" s="130"/>
      <c r="AF105" s="130"/>
      <c r="AG105" s="130"/>
      <c r="AH105" s="130"/>
      <c r="AI105" s="130"/>
      <c r="AJ105" s="130"/>
      <c r="AK105" s="130"/>
      <c r="AL105" s="130"/>
      <c r="AM105" s="130"/>
      <c r="AN105" s="130"/>
    </row>
    <row r="106" spans="1:40" x14ac:dyDescent="0.25">
      <c r="A106" s="130"/>
      <c r="B106" s="130"/>
      <c r="C106" s="270"/>
      <c r="D106" s="130"/>
      <c r="AE106" s="130"/>
      <c r="AF106" s="130"/>
      <c r="AG106" s="130"/>
      <c r="AH106" s="130"/>
      <c r="AI106" s="130"/>
      <c r="AJ106" s="130"/>
      <c r="AK106" s="130"/>
      <c r="AL106" s="130"/>
      <c r="AM106" s="130"/>
      <c r="AN106" s="130"/>
    </row>
    <row r="107" spans="1:40" x14ac:dyDescent="0.25">
      <c r="A107" s="130"/>
      <c r="B107" s="130"/>
      <c r="C107" s="270"/>
      <c r="D107" s="130"/>
      <c r="AE107" s="130"/>
      <c r="AF107" s="130"/>
      <c r="AG107" s="130"/>
      <c r="AH107" s="130"/>
      <c r="AI107" s="130"/>
      <c r="AJ107" s="130"/>
      <c r="AK107" s="130"/>
      <c r="AL107" s="130"/>
      <c r="AM107" s="130"/>
      <c r="AN107" s="130"/>
    </row>
    <row r="108" spans="1:40" x14ac:dyDescent="0.25">
      <c r="A108" s="130"/>
      <c r="B108" s="130"/>
      <c r="C108" s="270"/>
      <c r="D108" s="130"/>
      <c r="AE108" s="130"/>
      <c r="AF108" s="130"/>
      <c r="AG108" s="130"/>
      <c r="AH108" s="130"/>
      <c r="AI108" s="130"/>
      <c r="AJ108" s="130"/>
      <c r="AK108" s="130"/>
      <c r="AL108" s="130"/>
      <c r="AM108" s="130"/>
      <c r="AN108" s="130"/>
    </row>
    <row r="109" spans="1:40" x14ac:dyDescent="0.25">
      <c r="A109" s="130"/>
      <c r="B109" s="130"/>
      <c r="C109" s="270"/>
      <c r="D109" s="130"/>
      <c r="AE109" s="130"/>
      <c r="AF109" s="130"/>
      <c r="AG109" s="130"/>
      <c r="AH109" s="130"/>
      <c r="AI109" s="130"/>
      <c r="AJ109" s="130"/>
      <c r="AK109" s="130"/>
      <c r="AL109" s="130"/>
      <c r="AM109" s="130"/>
      <c r="AN109" s="130"/>
    </row>
    <row r="110" spans="1:40" x14ac:dyDescent="0.25">
      <c r="A110" s="130"/>
      <c r="B110" s="130"/>
      <c r="C110" s="270"/>
      <c r="D110" s="130"/>
      <c r="AE110" s="130"/>
      <c r="AF110" s="130"/>
      <c r="AG110" s="130"/>
      <c r="AH110" s="130"/>
      <c r="AI110" s="130"/>
      <c r="AJ110" s="130"/>
      <c r="AK110" s="130"/>
      <c r="AL110" s="130"/>
      <c r="AM110" s="130"/>
      <c r="AN110" s="130"/>
    </row>
    <row r="111" spans="1:40" x14ac:dyDescent="0.25">
      <c r="A111" s="130"/>
      <c r="B111" s="130"/>
      <c r="C111" s="270"/>
      <c r="D111" s="130"/>
      <c r="AE111" s="130"/>
      <c r="AF111" s="130"/>
      <c r="AG111" s="130"/>
      <c r="AH111" s="130"/>
      <c r="AI111" s="130"/>
      <c r="AJ111" s="130"/>
      <c r="AK111" s="130"/>
      <c r="AL111" s="130"/>
      <c r="AM111" s="130"/>
      <c r="AN111" s="130"/>
    </row>
    <row r="112" spans="1:40" x14ac:dyDescent="0.25">
      <c r="A112" s="130"/>
      <c r="B112" s="130"/>
      <c r="C112" s="270"/>
      <c r="D112" s="130"/>
      <c r="AE112" s="130"/>
      <c r="AF112" s="130"/>
      <c r="AG112" s="130"/>
      <c r="AH112" s="130"/>
      <c r="AI112" s="130"/>
      <c r="AJ112" s="130"/>
      <c r="AK112" s="130"/>
      <c r="AL112" s="130"/>
      <c r="AM112" s="130"/>
      <c r="AN112" s="130"/>
    </row>
    <row r="113" spans="1:40" x14ac:dyDescent="0.25">
      <c r="A113" s="130"/>
      <c r="B113" s="130"/>
      <c r="C113" s="270"/>
      <c r="D113" s="130"/>
      <c r="AE113" s="130"/>
      <c r="AF113" s="130"/>
      <c r="AG113" s="130"/>
      <c r="AH113" s="130"/>
      <c r="AI113" s="130"/>
      <c r="AJ113" s="130"/>
      <c r="AK113" s="130"/>
      <c r="AL113" s="130"/>
      <c r="AM113" s="130"/>
      <c r="AN113" s="130"/>
    </row>
    <row r="114" spans="1:40" x14ac:dyDescent="0.25">
      <c r="A114" s="130"/>
      <c r="B114" s="130"/>
      <c r="C114" s="270"/>
      <c r="D114" s="130"/>
      <c r="AE114" s="130"/>
      <c r="AF114" s="130"/>
      <c r="AG114" s="130"/>
      <c r="AH114" s="130"/>
      <c r="AI114" s="130"/>
      <c r="AJ114" s="130"/>
      <c r="AK114" s="130"/>
      <c r="AL114" s="130"/>
      <c r="AM114" s="130"/>
      <c r="AN114" s="130"/>
    </row>
    <row r="115" spans="1:40" x14ac:dyDescent="0.25">
      <c r="A115" s="130"/>
      <c r="B115" s="130"/>
      <c r="C115" s="270"/>
      <c r="D115" s="130"/>
      <c r="AE115" s="130"/>
      <c r="AF115" s="130"/>
      <c r="AG115" s="130"/>
      <c r="AH115" s="130"/>
      <c r="AI115" s="130"/>
      <c r="AJ115" s="130"/>
      <c r="AK115" s="130"/>
      <c r="AL115" s="130"/>
      <c r="AM115" s="130"/>
      <c r="AN115" s="130"/>
    </row>
    <row r="116" spans="1:40" x14ac:dyDescent="0.25">
      <c r="A116" s="130"/>
      <c r="B116" s="130"/>
      <c r="C116" s="270"/>
      <c r="D116" s="130"/>
      <c r="AE116" s="130"/>
      <c r="AF116" s="130"/>
      <c r="AG116" s="130"/>
      <c r="AH116" s="130"/>
      <c r="AI116" s="130"/>
      <c r="AJ116" s="130"/>
      <c r="AK116" s="130"/>
      <c r="AL116" s="130"/>
      <c r="AM116" s="130"/>
      <c r="AN116" s="130"/>
    </row>
    <row r="117" spans="1:40" x14ac:dyDescent="0.25">
      <c r="A117" s="130"/>
      <c r="B117" s="130"/>
      <c r="C117" s="270"/>
      <c r="D117" s="130"/>
      <c r="AE117" s="130"/>
      <c r="AF117" s="130"/>
      <c r="AG117" s="130"/>
      <c r="AH117" s="130"/>
      <c r="AI117" s="130"/>
      <c r="AJ117" s="130"/>
      <c r="AK117" s="130"/>
      <c r="AL117" s="130"/>
      <c r="AM117" s="130"/>
      <c r="AN117" s="130"/>
    </row>
    <row r="118" spans="1:40" x14ac:dyDescent="0.25">
      <c r="A118" s="130"/>
      <c r="B118" s="130"/>
      <c r="C118" s="270"/>
      <c r="D118" s="130"/>
      <c r="AE118" s="130"/>
      <c r="AF118" s="130"/>
      <c r="AG118" s="130"/>
      <c r="AH118" s="130"/>
      <c r="AI118" s="130"/>
      <c r="AJ118" s="130"/>
      <c r="AK118" s="130"/>
      <c r="AL118" s="130"/>
      <c r="AM118" s="130"/>
      <c r="AN118" s="130"/>
    </row>
    <row r="119" spans="1:40" x14ac:dyDescent="0.25">
      <c r="A119" s="130"/>
      <c r="B119" s="130"/>
      <c r="C119" s="270"/>
      <c r="D119" s="130"/>
      <c r="AE119" s="130"/>
      <c r="AF119" s="130"/>
      <c r="AG119" s="130"/>
      <c r="AH119" s="130"/>
      <c r="AI119" s="130"/>
      <c r="AJ119" s="130"/>
      <c r="AK119" s="130"/>
      <c r="AL119" s="130"/>
      <c r="AM119" s="130"/>
      <c r="AN119" s="130"/>
    </row>
    <row r="120" spans="1:40" x14ac:dyDescent="0.25">
      <c r="A120" s="130"/>
      <c r="B120" s="130"/>
      <c r="C120" s="270"/>
      <c r="D120" s="130"/>
      <c r="AE120" s="130"/>
      <c r="AF120" s="130"/>
      <c r="AG120" s="130"/>
      <c r="AH120" s="130"/>
      <c r="AI120" s="130"/>
      <c r="AJ120" s="130"/>
      <c r="AK120" s="130"/>
      <c r="AL120" s="130"/>
      <c r="AM120" s="130"/>
      <c r="AN120" s="130"/>
    </row>
    <row r="121" spans="1:40" x14ac:dyDescent="0.25">
      <c r="A121" s="130"/>
      <c r="B121" s="130"/>
      <c r="C121" s="270"/>
      <c r="D121" s="130"/>
      <c r="AE121" s="130"/>
      <c r="AF121" s="130"/>
      <c r="AG121" s="130"/>
      <c r="AH121" s="130"/>
      <c r="AI121" s="130"/>
      <c r="AJ121" s="130"/>
      <c r="AK121" s="130"/>
      <c r="AL121" s="130"/>
      <c r="AM121" s="130"/>
      <c r="AN121" s="130"/>
    </row>
    <row r="122" spans="1:40" x14ac:dyDescent="0.25">
      <c r="A122" s="130"/>
      <c r="B122" s="130"/>
      <c r="C122" s="270"/>
      <c r="D122" s="130"/>
      <c r="AE122" s="130"/>
      <c r="AF122" s="130"/>
      <c r="AG122" s="130"/>
      <c r="AH122" s="130"/>
      <c r="AI122" s="130"/>
      <c r="AJ122" s="130"/>
      <c r="AK122" s="130"/>
      <c r="AL122" s="130"/>
      <c r="AM122" s="130"/>
      <c r="AN122" s="130"/>
    </row>
    <row r="123" spans="1:40" x14ac:dyDescent="0.25">
      <c r="A123" s="130"/>
      <c r="B123" s="130"/>
      <c r="C123" s="270"/>
      <c r="D123" s="130"/>
      <c r="AE123" s="130"/>
      <c r="AF123" s="130"/>
      <c r="AG123" s="130"/>
      <c r="AH123" s="130"/>
      <c r="AI123" s="130"/>
      <c r="AJ123" s="130"/>
      <c r="AK123" s="130"/>
      <c r="AL123" s="130"/>
      <c r="AM123" s="130"/>
      <c r="AN123" s="130"/>
    </row>
    <row r="124" spans="1:40" x14ac:dyDescent="0.25">
      <c r="A124" s="130"/>
      <c r="B124" s="130"/>
      <c r="C124" s="270"/>
      <c r="D124" s="130"/>
      <c r="AE124" s="130"/>
      <c r="AF124" s="130"/>
      <c r="AG124" s="130"/>
      <c r="AH124" s="130"/>
      <c r="AI124" s="130"/>
      <c r="AJ124" s="130"/>
      <c r="AK124" s="130"/>
      <c r="AL124" s="130"/>
      <c r="AM124" s="130"/>
      <c r="AN124" s="130"/>
    </row>
    <row r="125" spans="1:40" x14ac:dyDescent="0.25">
      <c r="A125" s="130"/>
      <c r="B125" s="130"/>
      <c r="C125" s="270"/>
      <c r="D125" s="130"/>
      <c r="AE125" s="130"/>
      <c r="AF125" s="130"/>
      <c r="AG125" s="130"/>
      <c r="AH125" s="130"/>
      <c r="AI125" s="130"/>
      <c r="AJ125" s="130"/>
      <c r="AK125" s="130"/>
      <c r="AL125" s="130"/>
      <c r="AM125" s="130"/>
      <c r="AN125" s="130"/>
    </row>
    <row r="126" spans="1:40" x14ac:dyDescent="0.25">
      <c r="A126" s="130"/>
      <c r="B126" s="130"/>
      <c r="C126" s="270"/>
      <c r="D126" s="130"/>
      <c r="AE126" s="130"/>
      <c r="AF126" s="130"/>
      <c r="AG126" s="130"/>
      <c r="AH126" s="130"/>
      <c r="AI126" s="130"/>
      <c r="AJ126" s="130"/>
      <c r="AK126" s="130"/>
      <c r="AL126" s="130"/>
      <c r="AM126" s="130"/>
      <c r="AN126" s="130"/>
    </row>
    <row r="127" spans="1:40" x14ac:dyDescent="0.25">
      <c r="A127" s="130"/>
      <c r="B127" s="130"/>
      <c r="C127" s="270"/>
      <c r="D127" s="130"/>
      <c r="AE127" s="130"/>
      <c r="AF127" s="130"/>
      <c r="AG127" s="130"/>
      <c r="AH127" s="130"/>
      <c r="AI127" s="130"/>
      <c r="AJ127" s="130"/>
      <c r="AK127" s="130"/>
      <c r="AL127" s="130"/>
      <c r="AM127" s="130"/>
      <c r="AN127" s="130"/>
    </row>
    <row r="128" spans="1:40" x14ac:dyDescent="0.25">
      <c r="A128" s="130"/>
      <c r="B128" s="130"/>
      <c r="C128" s="270"/>
      <c r="D128" s="130"/>
      <c r="AE128" s="130"/>
      <c r="AF128" s="130"/>
      <c r="AG128" s="130"/>
      <c r="AH128" s="130"/>
      <c r="AI128" s="130"/>
      <c r="AJ128" s="130"/>
      <c r="AK128" s="130"/>
      <c r="AL128" s="130"/>
      <c r="AM128" s="130"/>
      <c r="AN128" s="130"/>
    </row>
    <row r="129" spans="1:40" x14ac:dyDescent="0.25">
      <c r="A129" s="130"/>
      <c r="B129" s="130"/>
      <c r="C129" s="270"/>
      <c r="D129" s="130"/>
      <c r="AE129" s="130"/>
      <c r="AF129" s="130"/>
      <c r="AG129" s="130"/>
      <c r="AH129" s="130"/>
      <c r="AI129" s="130"/>
      <c r="AJ129" s="130"/>
      <c r="AK129" s="130"/>
      <c r="AL129" s="130"/>
      <c r="AM129" s="130"/>
      <c r="AN129" s="130"/>
    </row>
    <row r="130" spans="1:40" x14ac:dyDescent="0.25">
      <c r="A130" s="130"/>
      <c r="B130" s="130"/>
      <c r="C130" s="270"/>
      <c r="D130" s="130"/>
      <c r="AE130" s="130"/>
      <c r="AF130" s="130"/>
      <c r="AG130" s="130"/>
      <c r="AH130" s="130"/>
      <c r="AI130" s="130"/>
      <c r="AJ130" s="130"/>
      <c r="AK130" s="130"/>
      <c r="AL130" s="130"/>
      <c r="AM130" s="130"/>
      <c r="AN130" s="130"/>
    </row>
    <row r="131" spans="1:40" x14ac:dyDescent="0.25">
      <c r="A131" s="130"/>
      <c r="B131" s="130"/>
      <c r="C131" s="270"/>
      <c r="D131" s="130"/>
      <c r="AE131" s="130"/>
      <c r="AF131" s="130"/>
      <c r="AG131" s="130"/>
      <c r="AH131" s="130"/>
      <c r="AI131" s="130"/>
      <c r="AJ131" s="130"/>
      <c r="AK131" s="130"/>
      <c r="AL131" s="130"/>
      <c r="AM131" s="130"/>
      <c r="AN131" s="130"/>
    </row>
    <row r="132" spans="1:40" x14ac:dyDescent="0.25">
      <c r="A132" s="130"/>
      <c r="B132" s="130"/>
      <c r="C132" s="270"/>
      <c r="D132" s="130"/>
      <c r="AE132" s="130"/>
      <c r="AF132" s="130"/>
      <c r="AG132" s="130"/>
      <c r="AH132" s="130"/>
      <c r="AI132" s="130"/>
      <c r="AJ132" s="130"/>
      <c r="AK132" s="130"/>
      <c r="AL132" s="130"/>
      <c r="AM132" s="130"/>
      <c r="AN132" s="130"/>
    </row>
    <row r="133" spans="1:40" x14ac:dyDescent="0.25">
      <c r="A133" s="130"/>
      <c r="B133" s="130"/>
      <c r="C133" s="270"/>
      <c r="D133" s="130"/>
      <c r="AE133" s="130"/>
      <c r="AF133" s="130"/>
      <c r="AG133" s="130"/>
      <c r="AH133" s="130"/>
      <c r="AI133" s="130"/>
      <c r="AJ133" s="130"/>
      <c r="AK133" s="130"/>
      <c r="AL133" s="130"/>
      <c r="AM133" s="130"/>
      <c r="AN133" s="130"/>
    </row>
    <row r="134" spans="1:40" x14ac:dyDescent="0.25">
      <c r="A134" s="130"/>
      <c r="B134" s="130"/>
      <c r="C134" s="270"/>
      <c r="D134" s="130"/>
      <c r="AE134" s="130"/>
      <c r="AF134" s="130"/>
      <c r="AG134" s="130"/>
      <c r="AH134" s="130"/>
      <c r="AI134" s="130"/>
      <c r="AJ134" s="130"/>
      <c r="AK134" s="130"/>
      <c r="AL134" s="130"/>
      <c r="AM134" s="130"/>
      <c r="AN134" s="130"/>
    </row>
    <row r="135" spans="1:40" x14ac:dyDescent="0.25">
      <c r="A135" s="130"/>
      <c r="B135" s="130"/>
      <c r="C135" s="270"/>
      <c r="D135" s="130"/>
      <c r="AE135" s="130"/>
      <c r="AF135" s="130"/>
      <c r="AG135" s="130"/>
      <c r="AH135" s="130"/>
      <c r="AI135" s="130"/>
      <c r="AJ135" s="130"/>
      <c r="AK135" s="130"/>
      <c r="AL135" s="130"/>
      <c r="AM135" s="130"/>
      <c r="AN135" s="130"/>
    </row>
    <row r="136" spans="1:40" x14ac:dyDescent="0.25">
      <c r="A136" s="130"/>
      <c r="B136" s="130"/>
      <c r="C136" s="270"/>
      <c r="D136" s="130"/>
      <c r="AE136" s="130"/>
      <c r="AF136" s="130"/>
      <c r="AG136" s="130"/>
      <c r="AH136" s="130"/>
      <c r="AI136" s="130"/>
      <c r="AJ136" s="130"/>
      <c r="AK136" s="130"/>
      <c r="AL136" s="130"/>
      <c r="AM136" s="130"/>
      <c r="AN136" s="130"/>
    </row>
    <row r="137" spans="1:40" x14ac:dyDescent="0.25">
      <c r="A137" s="130"/>
      <c r="B137" s="130"/>
      <c r="C137" s="270"/>
      <c r="D137" s="130"/>
      <c r="AE137" s="130"/>
      <c r="AF137" s="130"/>
      <c r="AG137" s="130"/>
      <c r="AH137" s="130"/>
      <c r="AI137" s="130"/>
      <c r="AJ137" s="130"/>
      <c r="AK137" s="130"/>
      <c r="AL137" s="130"/>
      <c r="AM137" s="130"/>
      <c r="AN137" s="130"/>
    </row>
    <row r="138" spans="1:40" x14ac:dyDescent="0.25">
      <c r="A138" s="130"/>
      <c r="B138" s="130"/>
      <c r="C138" s="270"/>
      <c r="D138" s="130"/>
      <c r="AE138" s="130"/>
      <c r="AF138" s="130"/>
      <c r="AG138" s="130"/>
      <c r="AH138" s="130"/>
      <c r="AI138" s="130"/>
      <c r="AJ138" s="130"/>
      <c r="AK138" s="130"/>
      <c r="AL138" s="130"/>
      <c r="AM138" s="130"/>
      <c r="AN138" s="130"/>
    </row>
    <row r="139" spans="1:40" x14ac:dyDescent="0.25">
      <c r="A139" s="130"/>
      <c r="B139" s="130"/>
      <c r="C139" s="270"/>
      <c r="D139" s="130"/>
      <c r="AE139" s="130"/>
      <c r="AF139" s="130"/>
      <c r="AG139" s="130"/>
      <c r="AH139" s="130"/>
      <c r="AI139" s="130"/>
      <c r="AJ139" s="130"/>
      <c r="AK139" s="130"/>
      <c r="AL139" s="130"/>
      <c r="AM139" s="130"/>
      <c r="AN139" s="130"/>
    </row>
    <row r="140" spans="1:40" x14ac:dyDescent="0.25">
      <c r="A140" s="130"/>
      <c r="B140" s="130"/>
      <c r="C140" s="270"/>
      <c r="D140" s="130"/>
      <c r="AE140" s="130"/>
      <c r="AF140" s="130"/>
      <c r="AG140" s="130"/>
      <c r="AH140" s="130"/>
      <c r="AI140" s="130"/>
      <c r="AJ140" s="130"/>
      <c r="AK140" s="130"/>
      <c r="AL140" s="130"/>
      <c r="AM140" s="130"/>
      <c r="AN140" s="130"/>
    </row>
    <row r="141" spans="1:40" x14ac:dyDescent="0.25">
      <c r="A141" s="130"/>
      <c r="B141" s="130"/>
      <c r="C141" s="270"/>
      <c r="D141" s="130"/>
      <c r="AE141" s="130"/>
      <c r="AF141" s="130"/>
      <c r="AG141" s="130"/>
      <c r="AH141" s="130"/>
      <c r="AI141" s="130"/>
      <c r="AJ141" s="130"/>
      <c r="AK141" s="130"/>
      <c r="AL141" s="130"/>
      <c r="AM141" s="130"/>
      <c r="AN141" s="130"/>
    </row>
    <row r="142" spans="1:40" x14ac:dyDescent="0.25">
      <c r="A142" s="130"/>
      <c r="B142" s="130"/>
      <c r="C142" s="270"/>
      <c r="D142" s="130"/>
      <c r="AE142" s="130"/>
      <c r="AF142" s="130"/>
      <c r="AG142" s="130"/>
      <c r="AH142" s="130"/>
      <c r="AI142" s="130"/>
      <c r="AJ142" s="130"/>
      <c r="AK142" s="130"/>
      <c r="AL142" s="130"/>
      <c r="AM142" s="130"/>
      <c r="AN142" s="130"/>
    </row>
    <row r="143" spans="1:40" x14ac:dyDescent="0.25">
      <c r="A143" s="130"/>
      <c r="B143" s="130"/>
      <c r="C143" s="270"/>
      <c r="D143" s="130"/>
      <c r="AE143" s="130"/>
      <c r="AF143" s="130"/>
      <c r="AG143" s="130"/>
      <c r="AH143" s="130"/>
      <c r="AI143" s="130"/>
      <c r="AJ143" s="130"/>
      <c r="AK143" s="130"/>
      <c r="AL143" s="130"/>
      <c r="AM143" s="130"/>
      <c r="AN143" s="130"/>
    </row>
    <row r="144" spans="1:40" x14ac:dyDescent="0.25">
      <c r="A144" s="130"/>
      <c r="B144" s="130"/>
      <c r="C144" s="270"/>
      <c r="D144" s="130"/>
      <c r="AE144" s="130"/>
      <c r="AF144" s="130"/>
      <c r="AG144" s="130"/>
      <c r="AH144" s="130"/>
      <c r="AI144" s="130"/>
      <c r="AJ144" s="130"/>
      <c r="AK144" s="130"/>
      <c r="AL144" s="130"/>
      <c r="AM144" s="130"/>
      <c r="AN144" s="130"/>
    </row>
    <row r="145" spans="1:40" x14ac:dyDescent="0.25">
      <c r="A145" s="130"/>
      <c r="B145" s="130"/>
      <c r="C145" s="270"/>
      <c r="D145" s="130"/>
      <c r="AE145" s="130"/>
      <c r="AF145" s="130"/>
      <c r="AG145" s="130"/>
      <c r="AH145" s="130"/>
      <c r="AI145" s="130"/>
      <c r="AJ145" s="130"/>
      <c r="AK145" s="130"/>
      <c r="AL145" s="130"/>
      <c r="AM145" s="130"/>
      <c r="AN145" s="130"/>
    </row>
    <row r="146" spans="1:40" x14ac:dyDescent="0.25">
      <c r="A146" s="130"/>
      <c r="B146" s="130"/>
      <c r="C146" s="270"/>
      <c r="D146" s="130"/>
      <c r="AE146" s="130"/>
      <c r="AF146" s="130"/>
      <c r="AG146" s="130"/>
      <c r="AH146" s="130"/>
      <c r="AI146" s="130"/>
      <c r="AJ146" s="130"/>
      <c r="AK146" s="130"/>
      <c r="AL146" s="130"/>
      <c r="AM146" s="130"/>
      <c r="AN146" s="130"/>
    </row>
    <row r="147" spans="1:40" x14ac:dyDescent="0.25">
      <c r="A147" s="130"/>
      <c r="B147" s="130"/>
      <c r="C147" s="270"/>
      <c r="D147" s="130"/>
      <c r="AE147" s="130"/>
      <c r="AF147" s="130"/>
      <c r="AG147" s="130"/>
      <c r="AH147" s="130"/>
      <c r="AI147" s="130"/>
      <c r="AJ147" s="130"/>
      <c r="AK147" s="130"/>
      <c r="AL147" s="130"/>
      <c r="AM147" s="130"/>
      <c r="AN147" s="130"/>
    </row>
    <row r="148" spans="1:40" x14ac:dyDescent="0.25">
      <c r="A148" s="130"/>
      <c r="B148" s="130"/>
      <c r="C148" s="270"/>
      <c r="D148" s="130"/>
      <c r="AE148" s="130"/>
      <c r="AF148" s="130"/>
      <c r="AG148" s="130"/>
      <c r="AH148" s="130"/>
      <c r="AI148" s="130"/>
      <c r="AJ148" s="130"/>
      <c r="AK148" s="130"/>
      <c r="AL148" s="130"/>
      <c r="AM148" s="130"/>
      <c r="AN148" s="130"/>
    </row>
    <row r="149" spans="1:40" x14ac:dyDescent="0.25">
      <c r="A149" s="130"/>
      <c r="B149" s="130"/>
      <c r="C149" s="270"/>
      <c r="D149" s="130"/>
      <c r="AE149" s="130"/>
      <c r="AF149" s="130"/>
      <c r="AG149" s="130"/>
      <c r="AH149" s="130"/>
      <c r="AI149" s="130"/>
      <c r="AJ149" s="130"/>
      <c r="AK149" s="130"/>
      <c r="AL149" s="130"/>
      <c r="AM149" s="130"/>
      <c r="AN149" s="130"/>
    </row>
    <row r="150" spans="1:40" x14ac:dyDescent="0.25">
      <c r="A150" s="130"/>
      <c r="B150" s="130"/>
      <c r="C150" s="270"/>
      <c r="D150" s="130"/>
      <c r="AE150" s="130"/>
      <c r="AF150" s="130"/>
      <c r="AG150" s="130"/>
      <c r="AH150" s="130"/>
      <c r="AI150" s="130"/>
      <c r="AJ150" s="130"/>
      <c r="AK150" s="130"/>
      <c r="AL150" s="130"/>
      <c r="AM150" s="130"/>
      <c r="AN150" s="130"/>
    </row>
    <row r="151" spans="1:40" x14ac:dyDescent="0.25">
      <c r="A151" s="130"/>
      <c r="B151" s="130"/>
      <c r="C151" s="270"/>
      <c r="D151" s="130"/>
      <c r="AE151" s="130"/>
      <c r="AF151" s="130"/>
      <c r="AG151" s="130"/>
      <c r="AH151" s="130"/>
      <c r="AI151" s="130"/>
      <c r="AJ151" s="130"/>
      <c r="AK151" s="130"/>
      <c r="AL151" s="130"/>
      <c r="AM151" s="130"/>
      <c r="AN151" s="130"/>
    </row>
    <row r="152" spans="1:40" x14ac:dyDescent="0.25">
      <c r="A152" s="130"/>
      <c r="B152" s="130"/>
      <c r="C152" s="270"/>
      <c r="D152" s="130"/>
      <c r="AE152" s="130"/>
      <c r="AF152" s="130"/>
      <c r="AG152" s="130"/>
      <c r="AH152" s="130"/>
      <c r="AI152" s="130"/>
      <c r="AJ152" s="130"/>
      <c r="AK152" s="130"/>
      <c r="AL152" s="130"/>
      <c r="AM152" s="130"/>
      <c r="AN152" s="130"/>
    </row>
    <row r="153" spans="1:40" x14ac:dyDescent="0.25">
      <c r="A153" s="130"/>
      <c r="B153" s="130"/>
      <c r="C153" s="270"/>
      <c r="D153" s="130"/>
      <c r="AE153" s="130"/>
      <c r="AF153" s="130"/>
      <c r="AG153" s="130"/>
      <c r="AH153" s="130"/>
      <c r="AI153" s="130"/>
      <c r="AJ153" s="130"/>
      <c r="AK153" s="130"/>
      <c r="AL153" s="130"/>
      <c r="AM153" s="130"/>
      <c r="AN153" s="130"/>
    </row>
    <row r="154" spans="1:40" x14ac:dyDescent="0.25">
      <c r="A154" s="130"/>
      <c r="B154" s="130"/>
      <c r="C154" s="270"/>
      <c r="D154" s="130"/>
      <c r="AE154" s="130"/>
      <c r="AF154" s="130"/>
      <c r="AG154" s="130"/>
      <c r="AH154" s="130"/>
      <c r="AI154" s="130"/>
      <c r="AJ154" s="130"/>
      <c r="AK154" s="130"/>
      <c r="AL154" s="130"/>
      <c r="AM154" s="130"/>
      <c r="AN154" s="130"/>
    </row>
    <row r="155" spans="1:40" x14ac:dyDescent="0.25">
      <c r="A155" s="130"/>
      <c r="B155" s="130"/>
      <c r="C155" s="270"/>
      <c r="D155" s="130"/>
      <c r="AE155" s="130"/>
      <c r="AF155" s="130"/>
      <c r="AG155" s="130"/>
      <c r="AH155" s="130"/>
      <c r="AI155" s="130"/>
      <c r="AJ155" s="130"/>
      <c r="AK155" s="130"/>
      <c r="AL155" s="130"/>
      <c r="AM155" s="130"/>
      <c r="AN155" s="130"/>
    </row>
    <row r="156" spans="1:40" x14ac:dyDescent="0.25">
      <c r="A156" s="130"/>
      <c r="B156" s="130"/>
      <c r="C156" s="270"/>
      <c r="D156" s="130"/>
      <c r="AE156" s="130"/>
      <c r="AF156" s="130"/>
      <c r="AG156" s="130"/>
      <c r="AH156" s="130"/>
      <c r="AI156" s="130"/>
      <c r="AJ156" s="130"/>
      <c r="AK156" s="130"/>
      <c r="AL156" s="130"/>
      <c r="AM156" s="130"/>
      <c r="AN156" s="130"/>
    </row>
    <row r="157" spans="1:40" x14ac:dyDescent="0.25">
      <c r="A157" s="130"/>
      <c r="B157" s="130"/>
      <c r="C157" s="270"/>
      <c r="D157" s="130"/>
      <c r="AE157" s="130"/>
      <c r="AF157" s="130"/>
      <c r="AG157" s="130"/>
      <c r="AH157" s="130"/>
      <c r="AI157" s="130"/>
      <c r="AJ157" s="130"/>
      <c r="AK157" s="130"/>
      <c r="AL157" s="130"/>
      <c r="AM157" s="130"/>
      <c r="AN157" s="130"/>
    </row>
    <row r="158" spans="1:40" x14ac:dyDescent="0.25">
      <c r="A158" s="130"/>
      <c r="B158" s="130"/>
      <c r="C158" s="270"/>
      <c r="D158" s="130"/>
      <c r="AE158" s="130"/>
      <c r="AF158" s="130"/>
      <c r="AG158" s="130"/>
      <c r="AH158" s="130"/>
      <c r="AI158" s="130"/>
      <c r="AJ158" s="130"/>
      <c r="AK158" s="130"/>
      <c r="AL158" s="130"/>
      <c r="AM158" s="130"/>
      <c r="AN158" s="130"/>
    </row>
    <row r="159" spans="1:40" x14ac:dyDescent="0.25">
      <c r="A159" s="130"/>
      <c r="B159" s="130"/>
      <c r="C159" s="270"/>
      <c r="D159" s="130"/>
      <c r="AE159" s="130"/>
      <c r="AF159" s="130"/>
      <c r="AG159" s="130"/>
      <c r="AH159" s="130"/>
      <c r="AI159" s="130"/>
      <c r="AJ159" s="130"/>
      <c r="AK159" s="130"/>
      <c r="AL159" s="130"/>
      <c r="AM159" s="130"/>
      <c r="AN159" s="130"/>
    </row>
    <row r="160" spans="1:40" x14ac:dyDescent="0.25">
      <c r="A160" s="130"/>
      <c r="B160" s="130"/>
      <c r="C160" s="270"/>
      <c r="D160" s="130"/>
      <c r="AE160" s="130"/>
      <c r="AF160" s="130"/>
      <c r="AG160" s="130"/>
      <c r="AH160" s="130"/>
      <c r="AI160" s="130"/>
      <c r="AJ160" s="130"/>
      <c r="AK160" s="130"/>
      <c r="AL160" s="130"/>
      <c r="AM160" s="130"/>
      <c r="AN160" s="130"/>
    </row>
    <row r="161" spans="1:40" x14ac:dyDescent="0.25">
      <c r="A161" s="130"/>
      <c r="B161" s="130"/>
      <c r="C161" s="270"/>
      <c r="D161" s="130"/>
      <c r="AE161" s="130"/>
      <c r="AF161" s="130"/>
      <c r="AG161" s="130"/>
      <c r="AH161" s="130"/>
      <c r="AI161" s="130"/>
      <c r="AJ161" s="130"/>
      <c r="AK161" s="130"/>
      <c r="AL161" s="130"/>
      <c r="AM161" s="130"/>
      <c r="AN161" s="130"/>
    </row>
    <row r="162" spans="1:40" x14ac:dyDescent="0.25">
      <c r="A162" s="130"/>
      <c r="B162" s="130"/>
      <c r="C162" s="270"/>
      <c r="D162" s="130"/>
      <c r="AE162" s="130"/>
      <c r="AF162" s="130"/>
      <c r="AG162" s="130"/>
      <c r="AH162" s="130"/>
      <c r="AI162" s="130"/>
      <c r="AJ162" s="130"/>
      <c r="AK162" s="130"/>
      <c r="AL162" s="130"/>
      <c r="AM162" s="130"/>
      <c r="AN162" s="130"/>
    </row>
    <row r="163" spans="1:40" x14ac:dyDescent="0.25">
      <c r="A163" s="130"/>
      <c r="B163" s="130"/>
      <c r="C163" s="270"/>
      <c r="D163" s="130"/>
      <c r="AE163" s="130"/>
      <c r="AF163" s="130"/>
      <c r="AG163" s="130"/>
      <c r="AH163" s="130"/>
      <c r="AI163" s="130"/>
      <c r="AJ163" s="130"/>
      <c r="AK163" s="130"/>
      <c r="AL163" s="130"/>
      <c r="AM163" s="130"/>
      <c r="AN163" s="130"/>
    </row>
    <row r="164" spans="1:40" x14ac:dyDescent="0.25">
      <c r="A164" s="130"/>
      <c r="B164" s="130"/>
      <c r="C164" s="270"/>
      <c r="D164" s="130"/>
      <c r="AE164" s="130"/>
      <c r="AF164" s="130"/>
      <c r="AG164" s="130"/>
      <c r="AH164" s="130"/>
      <c r="AI164" s="130"/>
      <c r="AJ164" s="130"/>
      <c r="AK164" s="130"/>
      <c r="AL164" s="130"/>
      <c r="AM164" s="130"/>
      <c r="AN164" s="130"/>
    </row>
    <row r="165" spans="1:40" x14ac:dyDescent="0.25">
      <c r="A165" s="130"/>
      <c r="B165" s="130"/>
      <c r="C165" s="270"/>
      <c r="D165" s="130"/>
      <c r="AE165" s="130"/>
      <c r="AF165" s="130"/>
      <c r="AG165" s="130"/>
      <c r="AH165" s="130"/>
      <c r="AI165" s="130"/>
      <c r="AJ165" s="130"/>
      <c r="AK165" s="130"/>
      <c r="AL165" s="130"/>
      <c r="AM165" s="130"/>
      <c r="AN165" s="130"/>
    </row>
    <row r="166" spans="1:40" x14ac:dyDescent="0.25">
      <c r="A166" s="130"/>
      <c r="B166" s="130"/>
      <c r="C166" s="270"/>
      <c r="D166" s="130"/>
      <c r="AE166" s="130"/>
      <c r="AF166" s="130"/>
      <c r="AG166" s="130"/>
      <c r="AH166" s="130"/>
      <c r="AI166" s="130"/>
      <c r="AJ166" s="130"/>
      <c r="AK166" s="130"/>
      <c r="AL166" s="130"/>
      <c r="AM166" s="130"/>
      <c r="AN166" s="130"/>
    </row>
    <row r="167" spans="1:40" x14ac:dyDescent="0.25">
      <c r="A167" s="130"/>
      <c r="B167" s="130"/>
      <c r="C167" s="270"/>
      <c r="D167" s="130"/>
      <c r="AE167" s="130"/>
      <c r="AF167" s="130"/>
      <c r="AG167" s="130"/>
      <c r="AH167" s="130"/>
      <c r="AI167" s="130"/>
      <c r="AJ167" s="130"/>
      <c r="AK167" s="130"/>
      <c r="AL167" s="130"/>
      <c r="AM167" s="130"/>
      <c r="AN167" s="130"/>
    </row>
    <row r="168" spans="1:40" x14ac:dyDescent="0.25">
      <c r="A168" s="130"/>
      <c r="B168" s="130"/>
      <c r="C168" s="270"/>
      <c r="D168" s="130"/>
      <c r="AE168" s="130"/>
      <c r="AF168" s="130"/>
      <c r="AG168" s="130"/>
      <c r="AH168" s="130"/>
      <c r="AI168" s="130"/>
      <c r="AJ168" s="130"/>
      <c r="AK168" s="130"/>
      <c r="AL168" s="130"/>
      <c r="AM168" s="130"/>
      <c r="AN168" s="130"/>
    </row>
    <row r="169" spans="1:40" x14ac:dyDescent="0.25">
      <c r="A169" s="130"/>
      <c r="B169" s="130"/>
      <c r="C169" s="270"/>
      <c r="D169" s="130"/>
      <c r="AE169" s="130"/>
      <c r="AF169" s="130"/>
      <c r="AG169" s="130"/>
      <c r="AH169" s="130"/>
      <c r="AI169" s="130"/>
      <c r="AJ169" s="130"/>
      <c r="AK169" s="130"/>
      <c r="AL169" s="130"/>
      <c r="AM169" s="130"/>
      <c r="AN169" s="130"/>
    </row>
    <row r="170" spans="1:40" x14ac:dyDescent="0.25">
      <c r="A170" s="130"/>
      <c r="B170" s="130"/>
      <c r="C170" s="270"/>
      <c r="D170" s="130"/>
      <c r="AE170" s="130"/>
      <c r="AF170" s="130"/>
      <c r="AG170" s="130"/>
      <c r="AH170" s="130"/>
      <c r="AI170" s="130"/>
      <c r="AJ170" s="130"/>
      <c r="AK170" s="130"/>
      <c r="AL170" s="130"/>
      <c r="AM170" s="130"/>
      <c r="AN170" s="130"/>
    </row>
    <row r="171" spans="1:40" x14ac:dyDescent="0.25">
      <c r="A171" s="130"/>
      <c r="B171" s="130"/>
      <c r="C171" s="270"/>
      <c r="D171" s="130"/>
      <c r="AE171" s="130"/>
      <c r="AF171" s="130"/>
      <c r="AG171" s="130"/>
      <c r="AH171" s="130"/>
      <c r="AI171" s="130"/>
      <c r="AJ171" s="130"/>
      <c r="AK171" s="130"/>
      <c r="AL171" s="130"/>
      <c r="AM171" s="130"/>
      <c r="AN171" s="130"/>
    </row>
    <row r="172" spans="1:40" x14ac:dyDescent="0.25">
      <c r="A172" s="130"/>
      <c r="B172" s="130"/>
      <c r="C172" s="270"/>
      <c r="D172" s="130"/>
      <c r="AE172" s="130"/>
      <c r="AF172" s="130"/>
      <c r="AG172" s="130"/>
      <c r="AH172" s="130"/>
      <c r="AI172" s="130"/>
      <c r="AJ172" s="130"/>
      <c r="AK172" s="130"/>
      <c r="AL172" s="130"/>
      <c r="AM172" s="130"/>
      <c r="AN172" s="130"/>
    </row>
    <row r="173" spans="1:40" x14ac:dyDescent="0.25">
      <c r="A173" s="130"/>
      <c r="B173" s="130"/>
      <c r="C173" s="270"/>
      <c r="D173" s="130"/>
      <c r="AE173" s="130"/>
      <c r="AF173" s="130"/>
      <c r="AG173" s="130"/>
      <c r="AH173" s="130"/>
      <c r="AI173" s="130"/>
      <c r="AJ173" s="130"/>
      <c r="AK173" s="130"/>
      <c r="AL173" s="130"/>
      <c r="AM173" s="130"/>
      <c r="AN173" s="130"/>
    </row>
    <row r="174" spans="1:40" x14ac:dyDescent="0.25">
      <c r="A174" s="130"/>
      <c r="B174" s="130"/>
      <c r="C174" s="270"/>
      <c r="D174" s="130"/>
      <c r="AE174" s="130"/>
      <c r="AF174" s="130"/>
      <c r="AG174" s="130"/>
      <c r="AH174" s="130"/>
      <c r="AI174" s="130"/>
      <c r="AJ174" s="130"/>
      <c r="AK174" s="130"/>
      <c r="AL174" s="130"/>
      <c r="AM174" s="130"/>
      <c r="AN174" s="130"/>
    </row>
    <row r="175" spans="1:40" x14ac:dyDescent="0.25">
      <c r="A175" s="130"/>
      <c r="B175" s="130"/>
      <c r="C175" s="270"/>
      <c r="D175" s="130"/>
      <c r="AE175" s="130"/>
      <c r="AF175" s="130"/>
      <c r="AG175" s="130"/>
      <c r="AH175" s="130"/>
      <c r="AI175" s="130"/>
      <c r="AJ175" s="130"/>
      <c r="AK175" s="130"/>
      <c r="AL175" s="130"/>
      <c r="AM175" s="130"/>
      <c r="AN175" s="130"/>
    </row>
    <row r="176" spans="1:40" x14ac:dyDescent="0.25">
      <c r="A176" s="130"/>
      <c r="B176" s="130"/>
      <c r="C176" s="270"/>
      <c r="D176" s="130"/>
      <c r="AE176" s="130"/>
      <c r="AF176" s="130"/>
      <c r="AG176" s="130"/>
      <c r="AH176" s="130"/>
      <c r="AI176" s="130"/>
      <c r="AJ176" s="130"/>
      <c r="AK176" s="130"/>
      <c r="AL176" s="130"/>
      <c r="AM176" s="130"/>
      <c r="AN176" s="130"/>
    </row>
    <row r="177" spans="1:40" x14ac:dyDescent="0.25">
      <c r="A177" s="130"/>
      <c r="B177" s="130"/>
      <c r="C177" s="270"/>
      <c r="D177" s="130"/>
      <c r="AE177" s="130"/>
      <c r="AF177" s="130"/>
      <c r="AG177" s="130"/>
      <c r="AH177" s="130"/>
      <c r="AI177" s="130"/>
      <c r="AJ177" s="130"/>
      <c r="AK177" s="130"/>
      <c r="AL177" s="130"/>
      <c r="AM177" s="130"/>
      <c r="AN177" s="130"/>
    </row>
    <row r="178" spans="1:40" x14ac:dyDescent="0.25">
      <c r="A178" s="130"/>
      <c r="B178" s="130"/>
      <c r="C178" s="270"/>
      <c r="D178" s="130"/>
      <c r="AE178" s="130"/>
      <c r="AF178" s="130"/>
      <c r="AG178" s="130"/>
      <c r="AH178" s="130"/>
      <c r="AI178" s="130"/>
      <c r="AJ178" s="130"/>
      <c r="AK178" s="130"/>
      <c r="AL178" s="130"/>
      <c r="AM178" s="130"/>
      <c r="AN178" s="130"/>
    </row>
    <row r="179" spans="1:40" x14ac:dyDescent="0.25">
      <c r="A179" s="130"/>
      <c r="B179" s="130"/>
      <c r="C179" s="270"/>
      <c r="D179" s="130"/>
      <c r="AE179" s="130"/>
      <c r="AF179" s="130"/>
      <c r="AG179" s="130"/>
      <c r="AH179" s="130"/>
      <c r="AI179" s="130"/>
      <c r="AJ179" s="130"/>
      <c r="AK179" s="130"/>
      <c r="AL179" s="130"/>
      <c r="AM179" s="130"/>
      <c r="AN179" s="130"/>
    </row>
    <row r="180" spans="1:40" x14ac:dyDescent="0.25">
      <c r="A180" s="130"/>
      <c r="B180" s="130"/>
      <c r="C180" s="270"/>
      <c r="D180" s="130"/>
      <c r="AE180" s="130"/>
      <c r="AF180" s="130"/>
      <c r="AG180" s="130"/>
      <c r="AH180" s="130"/>
      <c r="AI180" s="130"/>
      <c r="AJ180" s="130"/>
      <c r="AK180" s="130"/>
      <c r="AL180" s="130"/>
      <c r="AM180" s="130"/>
      <c r="AN180" s="130"/>
    </row>
    <row r="181" spans="1:40" x14ac:dyDescent="0.25">
      <c r="A181" s="130"/>
      <c r="B181" s="130"/>
      <c r="C181" s="270"/>
      <c r="D181" s="130"/>
      <c r="AE181" s="130"/>
      <c r="AF181" s="130"/>
      <c r="AG181" s="130"/>
      <c r="AH181" s="130"/>
      <c r="AI181" s="130"/>
      <c r="AJ181" s="130"/>
      <c r="AK181" s="130"/>
      <c r="AL181" s="130"/>
      <c r="AM181" s="130"/>
      <c r="AN181" s="130"/>
    </row>
    <row r="182" spans="1:40" x14ac:dyDescent="0.25">
      <c r="A182" s="130"/>
      <c r="B182" s="130"/>
      <c r="C182" s="270"/>
      <c r="D182" s="130"/>
      <c r="AE182" s="130"/>
      <c r="AF182" s="130"/>
      <c r="AG182" s="130"/>
      <c r="AH182" s="130"/>
      <c r="AI182" s="130"/>
      <c r="AJ182" s="130"/>
      <c r="AK182" s="130"/>
      <c r="AL182" s="130"/>
      <c r="AM182" s="130"/>
      <c r="AN182" s="130"/>
    </row>
    <row r="183" spans="1:40" x14ac:dyDescent="0.25">
      <c r="A183" s="130"/>
      <c r="B183" s="130"/>
      <c r="C183" s="270"/>
      <c r="D183" s="130"/>
      <c r="AE183" s="130"/>
      <c r="AF183" s="130"/>
      <c r="AG183" s="130"/>
      <c r="AH183" s="130"/>
      <c r="AI183" s="130"/>
      <c r="AJ183" s="130"/>
      <c r="AK183" s="130"/>
      <c r="AL183" s="130"/>
      <c r="AM183" s="130"/>
      <c r="AN183" s="130"/>
    </row>
    <row r="184" spans="1:40" x14ac:dyDescent="0.25">
      <c r="A184" s="130"/>
      <c r="B184" s="130"/>
      <c r="C184" s="270"/>
      <c r="D184" s="130"/>
      <c r="AE184" s="130"/>
      <c r="AF184" s="130"/>
      <c r="AG184" s="130"/>
      <c r="AH184" s="130"/>
      <c r="AI184" s="130"/>
      <c r="AJ184" s="130"/>
      <c r="AK184" s="130"/>
      <c r="AL184" s="130"/>
      <c r="AM184" s="130"/>
      <c r="AN184" s="130"/>
    </row>
    <row r="185" spans="1:40" x14ac:dyDescent="0.25">
      <c r="A185" s="130"/>
      <c r="B185" s="130"/>
      <c r="C185" s="270"/>
      <c r="D185" s="130"/>
      <c r="AE185" s="130"/>
      <c r="AF185" s="130"/>
      <c r="AG185" s="130"/>
      <c r="AH185" s="130"/>
      <c r="AI185" s="130"/>
      <c r="AJ185" s="130"/>
      <c r="AK185" s="130"/>
      <c r="AL185" s="130"/>
      <c r="AM185" s="130"/>
      <c r="AN185" s="130"/>
    </row>
    <row r="186" spans="1:40" x14ac:dyDescent="0.25">
      <c r="A186" s="130"/>
      <c r="B186" s="130"/>
      <c r="C186" s="270"/>
      <c r="D186" s="130"/>
      <c r="AE186" s="130"/>
      <c r="AF186" s="130"/>
      <c r="AG186" s="130"/>
      <c r="AH186" s="130"/>
      <c r="AI186" s="130"/>
      <c r="AJ186" s="130"/>
      <c r="AK186" s="130"/>
      <c r="AL186" s="130"/>
      <c r="AM186" s="130"/>
      <c r="AN186" s="130"/>
    </row>
    <row r="187" spans="1:40" x14ac:dyDescent="0.25">
      <c r="A187" s="130"/>
      <c r="B187" s="130"/>
      <c r="C187" s="270"/>
      <c r="D187" s="130"/>
      <c r="AE187" s="130"/>
      <c r="AF187" s="130"/>
      <c r="AG187" s="130"/>
      <c r="AH187" s="130"/>
      <c r="AI187" s="130"/>
      <c r="AJ187" s="130"/>
      <c r="AK187" s="130"/>
      <c r="AL187" s="130"/>
      <c r="AM187" s="130"/>
      <c r="AN187" s="130"/>
    </row>
    <row r="188" spans="1:40" x14ac:dyDescent="0.25">
      <c r="A188" s="130"/>
      <c r="B188" s="130"/>
      <c r="C188" s="270"/>
      <c r="D188" s="130"/>
      <c r="AE188" s="130"/>
      <c r="AF188" s="130"/>
      <c r="AG188" s="130"/>
      <c r="AH188" s="130"/>
      <c r="AI188" s="130"/>
      <c r="AJ188" s="130"/>
      <c r="AK188" s="130"/>
      <c r="AL188" s="130"/>
      <c r="AM188" s="130"/>
      <c r="AN188" s="130"/>
    </row>
    <row r="189" spans="1:40" x14ac:dyDescent="0.25">
      <c r="A189" s="130"/>
      <c r="B189" s="130"/>
      <c r="C189" s="270"/>
      <c r="D189" s="130"/>
      <c r="AE189" s="130"/>
      <c r="AF189" s="130"/>
      <c r="AG189" s="130"/>
      <c r="AH189" s="130"/>
      <c r="AI189" s="130"/>
      <c r="AJ189" s="130"/>
      <c r="AK189" s="130"/>
      <c r="AL189" s="130"/>
      <c r="AM189" s="130"/>
      <c r="AN189" s="130"/>
    </row>
    <row r="190" spans="1:40" x14ac:dyDescent="0.25">
      <c r="A190" s="130"/>
      <c r="B190" s="130"/>
      <c r="C190" s="270"/>
      <c r="D190" s="130"/>
      <c r="AE190" s="130"/>
      <c r="AF190" s="130"/>
      <c r="AG190" s="130"/>
      <c r="AH190" s="130"/>
      <c r="AI190" s="130"/>
      <c r="AJ190" s="130"/>
      <c r="AK190" s="130"/>
      <c r="AL190" s="130"/>
      <c r="AM190" s="130"/>
      <c r="AN190" s="130"/>
    </row>
    <row r="191" spans="1:40" x14ac:dyDescent="0.25">
      <c r="A191" s="130"/>
      <c r="B191" s="130"/>
      <c r="C191" s="270"/>
      <c r="D191" s="130"/>
      <c r="AE191" s="130"/>
      <c r="AF191" s="130"/>
      <c r="AG191" s="130"/>
      <c r="AH191" s="130"/>
      <c r="AI191" s="130"/>
      <c r="AJ191" s="130"/>
      <c r="AK191" s="130"/>
      <c r="AL191" s="130"/>
      <c r="AM191" s="130"/>
      <c r="AN191" s="130"/>
    </row>
    <row r="192" spans="1:40" x14ac:dyDescent="0.25">
      <c r="A192" s="130"/>
      <c r="B192" s="130"/>
      <c r="C192" s="270"/>
      <c r="D192" s="130"/>
      <c r="AE192" s="130"/>
      <c r="AF192" s="130"/>
      <c r="AG192" s="130"/>
      <c r="AH192" s="130"/>
      <c r="AI192" s="130"/>
      <c r="AJ192" s="130"/>
      <c r="AK192" s="130"/>
      <c r="AL192" s="130"/>
      <c r="AM192" s="130"/>
      <c r="AN192" s="130"/>
    </row>
    <row r="193" spans="1:40" x14ac:dyDescent="0.25">
      <c r="A193" s="130"/>
      <c r="B193" s="130"/>
      <c r="C193" s="270"/>
      <c r="D193" s="130"/>
      <c r="AE193" s="130"/>
      <c r="AF193" s="130"/>
      <c r="AG193" s="130"/>
      <c r="AH193" s="130"/>
      <c r="AI193" s="130"/>
      <c r="AJ193" s="130"/>
      <c r="AK193" s="130"/>
      <c r="AL193" s="130"/>
      <c r="AM193" s="130"/>
      <c r="AN193" s="130"/>
    </row>
    <row r="194" spans="1:40" x14ac:dyDescent="0.25">
      <c r="A194" s="130"/>
      <c r="B194" s="130"/>
      <c r="C194" s="270"/>
      <c r="D194" s="130"/>
      <c r="AE194" s="130"/>
      <c r="AF194" s="130"/>
      <c r="AG194" s="130"/>
      <c r="AH194" s="130"/>
      <c r="AI194" s="130"/>
      <c r="AJ194" s="130"/>
      <c r="AK194" s="130"/>
      <c r="AL194" s="130"/>
      <c r="AM194" s="130"/>
      <c r="AN194" s="130"/>
    </row>
  </sheetData>
  <customSheetViews>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1"/>
    </customSheetView>
    <customSheetView guid="{C282AA4E-1BB5-4296-9AC6-844C0F88E5FC}" scale="80">
      <pane xSplit="6" ySplit="7" topLeftCell="M8" activePane="bottomRight" state="frozen"/>
      <selection pane="bottomRight" activeCell="AJ13" sqref="AJ13"/>
      <pageMargins left="0.7" right="0.7" top="0.75" bottom="0.75" header="0.3" footer="0.3"/>
      <pageSetup paperSize="9" orientation="portrait" r:id="rId2"/>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3"/>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4"/>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7"/>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8"/>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3"/>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6"/>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18"/>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20"/>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1"/>
    </customSheetView>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22"/>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23"/>
    </customSheetView>
    <customSheetView guid="{AB9978E4-895D-4050-8F07-2484E22632D1}" scale="80">
      <pane xSplit="6" ySplit="7" topLeftCell="U8" activePane="bottomRight" state="frozen"/>
      <selection pane="bottomRight" activeCell="F13" sqref="F13"/>
      <pageMargins left="0.7" right="0.7" top="0.75" bottom="0.75" header="0.3" footer="0.3"/>
      <pageSetup paperSize="9" orientation="portrait" r:id="rId24"/>
    </customSheetView>
    <customSheetView guid="{2940A182-D1A7-43C5-8D6E-965BED4371B0}" scale="80">
      <pane xSplit="6" ySplit="7" topLeftCell="G56" activePane="bottomRight" state="frozen"/>
      <selection pane="bottomRight" activeCell="B16" sqref="B16:B17"/>
      <pageMargins left="0.7" right="0.7" top="0.75" bottom="0.75" header="0.3" footer="0.3"/>
      <pageSetup paperSize="9" orientation="portrait" r:id="rId25"/>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26"/>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27"/>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28"/>
    </customSheetView>
  </customSheetViews>
  <mergeCells count="50">
    <mergeCell ref="B37:AG37"/>
    <mergeCell ref="A38:A39"/>
    <mergeCell ref="B38:B39"/>
    <mergeCell ref="A30:A31"/>
    <mergeCell ref="B30:B31"/>
    <mergeCell ref="A32:A33"/>
    <mergeCell ref="B32:B33"/>
    <mergeCell ref="A34:A35"/>
    <mergeCell ref="B34:B35"/>
    <mergeCell ref="A28:A29"/>
    <mergeCell ref="B28:B29"/>
    <mergeCell ref="A16:A17"/>
    <mergeCell ref="B16:B17"/>
    <mergeCell ref="A18:A20"/>
    <mergeCell ref="B18:B20"/>
    <mergeCell ref="A21:A22"/>
    <mergeCell ref="B21:B22"/>
    <mergeCell ref="A23:A24"/>
    <mergeCell ref="B23:B24"/>
    <mergeCell ref="A25:A26"/>
    <mergeCell ref="B25:B26"/>
    <mergeCell ref="B27:AG27"/>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zoomScale="80" zoomScaleNormal="6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2" t="s">
        <v>24</v>
      </c>
      <c r="D2" s="472"/>
      <c r="E2" s="472"/>
      <c r="F2" s="472"/>
      <c r="G2" s="472"/>
      <c r="H2" s="472"/>
      <c r="I2" s="472"/>
      <c r="J2" s="472"/>
      <c r="K2" s="472"/>
      <c r="L2" s="472"/>
      <c r="M2" s="472"/>
      <c r="N2" s="472"/>
      <c r="O2" s="472"/>
      <c r="P2" s="472"/>
      <c r="Q2" s="472"/>
      <c r="R2" s="472"/>
      <c r="S2" s="472"/>
      <c r="T2" s="93"/>
      <c r="U2" s="93"/>
      <c r="V2" s="93"/>
      <c r="W2" s="93"/>
      <c r="X2" s="93"/>
      <c r="Y2" s="93"/>
      <c r="Z2" s="93"/>
      <c r="AA2" s="93"/>
      <c r="AB2" s="93"/>
      <c r="AC2" s="93"/>
      <c r="AD2" s="93"/>
      <c r="AE2" s="93"/>
      <c r="AF2" s="93"/>
      <c r="AG2" s="93"/>
      <c r="AH2" s="93"/>
    </row>
    <row r="3" spans="1:35" ht="36.75" customHeight="1" x14ac:dyDescent="0.25">
      <c r="A3" s="92"/>
      <c r="B3" s="92"/>
      <c r="C3" s="473" t="s">
        <v>180</v>
      </c>
      <c r="D3" s="473"/>
      <c r="E3" s="473"/>
      <c r="F3" s="473"/>
      <c r="G3" s="473"/>
      <c r="H3" s="473"/>
      <c r="I3" s="473"/>
      <c r="J3" s="473"/>
      <c r="K3" s="473"/>
      <c r="L3" s="473"/>
      <c r="M3" s="473"/>
      <c r="N3" s="473"/>
      <c r="O3" s="473"/>
      <c r="P3" s="473"/>
      <c r="Q3" s="473"/>
      <c r="R3" s="473"/>
      <c r="S3" s="473"/>
      <c r="T3" s="94"/>
      <c r="U3" s="94"/>
      <c r="V3" s="94"/>
      <c r="W3" s="94"/>
      <c r="X3" s="94"/>
      <c r="Y3" s="94"/>
      <c r="Z3" s="94"/>
      <c r="AA3" s="94"/>
      <c r="AB3" s="94"/>
      <c r="AC3" s="94"/>
      <c r="AD3" s="95"/>
      <c r="AE3" s="95"/>
      <c r="AF3" s="95"/>
      <c r="AG3" s="37" t="s">
        <v>0</v>
      </c>
      <c r="AH3" s="95"/>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59" t="s">
        <v>23</v>
      </c>
      <c r="C8" s="57" t="s">
        <v>20</v>
      </c>
      <c r="D8" s="58">
        <f>D9</f>
        <v>55351.939490000004</v>
      </c>
      <c r="E8" s="58">
        <f>E9</f>
        <v>48885.995000000003</v>
      </c>
      <c r="F8" s="58">
        <f>F9</f>
        <v>39917.750789999998</v>
      </c>
      <c r="G8" s="58">
        <f>G9</f>
        <v>43915.68591</v>
      </c>
      <c r="H8" s="58">
        <f>IFERROR(G8/D8*100,0)</f>
        <v>79.339019218890954</v>
      </c>
      <c r="I8" s="58">
        <f>IFERROR(G8/E8*100,0)</f>
        <v>89.832856853992638</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4180.4822399999994</v>
      </c>
      <c r="Z8" s="59">
        <f t="shared" si="0"/>
        <v>3967.5672799999998</v>
      </c>
      <c r="AA8" s="59">
        <f t="shared" si="0"/>
        <v>4123.3989700000002</v>
      </c>
      <c r="AB8" s="59">
        <f t="shared" si="0"/>
        <v>4293.0362800000003</v>
      </c>
      <c r="AC8" s="59">
        <f t="shared" si="0"/>
        <v>3655.32539</v>
      </c>
      <c r="AD8" s="59">
        <f t="shared" si="0"/>
        <v>3935.72028</v>
      </c>
      <c r="AE8" s="59">
        <f t="shared" si="0"/>
        <v>3997.9351200000001</v>
      </c>
      <c r="AF8" s="59">
        <f t="shared" si="0"/>
        <v>6465.9444899999999</v>
      </c>
      <c r="AG8" s="59">
        <f t="shared" si="0"/>
        <v>0</v>
      </c>
      <c r="AH8" s="60"/>
      <c r="AI8" s="23">
        <f>E8-G8</f>
        <v>4970.3090900000025</v>
      </c>
    </row>
    <row r="9" spans="1:35" s="22" customFormat="1" ht="38.25" customHeight="1" x14ac:dyDescent="0.25">
      <c r="A9" s="488"/>
      <c r="B9" s="460"/>
      <c r="C9" s="61" t="s">
        <v>21</v>
      </c>
      <c r="D9" s="232">
        <f>SUM(J9,L9,N9,P9,R9,T9,V9,X9,Z9,AB9,AD9,AF9)</f>
        <v>55351.939490000004</v>
      </c>
      <c r="E9" s="232">
        <f>J9+L9+N9+P9+R9+T9+V9+X9+Z9+AB9+AD9</f>
        <v>48885.995000000003</v>
      </c>
      <c r="F9" s="232">
        <f>K9+M9+O9+Q9+S9+U9+W9+Y9+AA9+AC9</f>
        <v>39917.750789999998</v>
      </c>
      <c r="G9" s="62">
        <f>K9+M9+O9+Q9+S9+W9+U9+Y9+AA9+AC9++AE9+AG9</f>
        <v>43915.68591</v>
      </c>
      <c r="H9" s="62">
        <f>IFERROR(G9/D9*100,0)</f>
        <v>79.339019218890954</v>
      </c>
      <c r="I9" s="62">
        <f>IFERROR(G9/E9*100,0)</f>
        <v>89.832856853992638</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4180.4822399999994</v>
      </c>
      <c r="Z9" s="62">
        <f t="shared" si="1"/>
        <v>3967.5672799999998</v>
      </c>
      <c r="AA9" s="62">
        <f t="shared" si="1"/>
        <v>4123.3989700000002</v>
      </c>
      <c r="AB9" s="62">
        <f t="shared" si="1"/>
        <v>4293.0362800000003</v>
      </c>
      <c r="AC9" s="62">
        <f t="shared" si="1"/>
        <v>3655.32539</v>
      </c>
      <c r="AD9" s="62">
        <f t="shared" si="1"/>
        <v>3935.72028</v>
      </c>
      <c r="AE9" s="62">
        <f t="shared" si="1"/>
        <v>3997.9351200000001</v>
      </c>
      <c r="AF9" s="62">
        <f t="shared" si="1"/>
        <v>6465.9444899999999</v>
      </c>
      <c r="AG9" s="62">
        <f t="shared" si="1"/>
        <v>0</v>
      </c>
      <c r="AH9" s="64"/>
      <c r="AI9" s="23">
        <f>E9-G9</f>
        <v>4970.3090900000025</v>
      </c>
    </row>
    <row r="10" spans="1:35" s="26" customFormat="1" ht="18.75" customHeight="1" x14ac:dyDescent="0.25">
      <c r="A10" s="132" t="s">
        <v>151</v>
      </c>
      <c r="B10" s="502" t="s">
        <v>181</v>
      </c>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4"/>
      <c r="AH10" s="75"/>
      <c r="AI10" s="213"/>
    </row>
    <row r="11" spans="1:35" s="21" customFormat="1" ht="88.5" customHeight="1" x14ac:dyDescent="0.25">
      <c r="A11" s="487" t="s">
        <v>152</v>
      </c>
      <c r="B11" s="459" t="s">
        <v>182</v>
      </c>
      <c r="C11" s="57" t="s">
        <v>20</v>
      </c>
      <c r="D11" s="58">
        <f>D12</f>
        <v>6869.4494900000009</v>
      </c>
      <c r="E11" s="58">
        <f>E12</f>
        <v>4194.3460000000005</v>
      </c>
      <c r="F11" s="58">
        <f>F12</f>
        <v>4010.5018200000004</v>
      </c>
      <c r="G11" s="58">
        <f>G12</f>
        <v>4010.5018200000004</v>
      </c>
      <c r="H11" s="58">
        <f t="shared" ref="H11:H24" si="2">IFERROR(G11/D11*100,0)</f>
        <v>58.381706217334738</v>
      </c>
      <c r="I11" s="58">
        <f t="shared" ref="I11:I24" si="3">IFERROR(G11/E11*100,0)</f>
        <v>95.616857073784573</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579.1557600000001</v>
      </c>
      <c r="AB11" s="59">
        <f t="shared" si="4"/>
        <v>341.62400000000002</v>
      </c>
      <c r="AC11" s="59">
        <f t="shared" si="4"/>
        <v>334.83585999999997</v>
      </c>
      <c r="AD11" s="59">
        <f t="shared" si="4"/>
        <v>270.024</v>
      </c>
      <c r="AE11" s="59">
        <f t="shared" si="4"/>
        <v>254.35962000000001</v>
      </c>
      <c r="AF11" s="59">
        <f t="shared" si="4"/>
        <v>2675.10349</v>
      </c>
      <c r="AG11" s="59">
        <f t="shared" si="4"/>
        <v>0</v>
      </c>
      <c r="AH11" s="60"/>
      <c r="AI11" s="23">
        <f t="shared" ref="AI11:AI22" si="5">E11-G11</f>
        <v>183.84418000000005</v>
      </c>
    </row>
    <row r="12" spans="1:35" s="21" customFormat="1" ht="105.75" customHeight="1" x14ac:dyDescent="0.25">
      <c r="A12" s="489"/>
      <c r="B12" s="461"/>
      <c r="C12" s="61" t="s">
        <v>21</v>
      </c>
      <c r="D12" s="62">
        <f>SUM(J12,L12,N12,P12,R12,T12,V12,X12,Z12,AB12,AD12,AF12)</f>
        <v>6869.4494900000009</v>
      </c>
      <c r="E12" s="62">
        <f>J12+L12+N12+P12+R12+T12+V12+X12+Z12+AB12+AD12</f>
        <v>4194.3460000000005</v>
      </c>
      <c r="F12" s="62">
        <f>G12</f>
        <v>4010.5018200000004</v>
      </c>
      <c r="G12" s="62">
        <f>SUM(K12,M12,O12,Q12,S12,U12,W12,Y12,AA12,AC12,AE12,AG12)</f>
        <v>4010.5018200000004</v>
      </c>
      <c r="H12" s="62">
        <f>IFERROR(G12/D12*100,0)</f>
        <v>58.381706217334738</v>
      </c>
      <c r="I12" s="62">
        <f>IFERROR(G12/E12*100,0)</f>
        <v>95.616857073784573</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f t="shared" si="6"/>
        <v>579.1557600000001</v>
      </c>
      <c r="AB12" s="63">
        <f t="shared" si="6"/>
        <v>341.62400000000002</v>
      </c>
      <c r="AC12" s="63">
        <f t="shared" si="6"/>
        <v>334.83585999999997</v>
      </c>
      <c r="AD12" s="63">
        <f t="shared" si="6"/>
        <v>270.024</v>
      </c>
      <c r="AE12" s="63">
        <f t="shared" si="6"/>
        <v>254.35962000000001</v>
      </c>
      <c r="AF12" s="63">
        <f t="shared" si="6"/>
        <v>2675.10349</v>
      </c>
      <c r="AG12" s="63">
        <f t="shared" si="6"/>
        <v>0</v>
      </c>
      <c r="AH12" s="60"/>
      <c r="AI12" s="23">
        <f t="shared" si="5"/>
        <v>183.84418000000005</v>
      </c>
    </row>
    <row r="13" spans="1:35" s="137" customFormat="1" ht="35.25" customHeight="1" x14ac:dyDescent="0.25">
      <c r="A13" s="557"/>
      <c r="B13" s="559" t="s">
        <v>183</v>
      </c>
      <c r="C13" s="108" t="s">
        <v>20</v>
      </c>
      <c r="D13" s="109">
        <f>D14</f>
        <v>822.59999999999991</v>
      </c>
      <c r="E13" s="109">
        <f t="shared" ref="E13:G21" si="7">E14</f>
        <v>822.59999999999991</v>
      </c>
      <c r="F13" s="109">
        <f>F14</f>
        <v>765.11827999999991</v>
      </c>
      <c r="G13" s="109">
        <f>G14</f>
        <v>765.11827999999991</v>
      </c>
      <c r="H13" s="109">
        <f t="shared" si="2"/>
        <v>93.012190615122776</v>
      </c>
      <c r="I13" s="109">
        <f t="shared" si="3"/>
        <v>93.012190615122776</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321.24772000000002</v>
      </c>
      <c r="AB13" s="110">
        <f t="shared" si="8"/>
        <v>4.4000000000000004</v>
      </c>
      <c r="AC13" s="110">
        <f t="shared" si="8"/>
        <v>1.76</v>
      </c>
      <c r="AD13" s="110">
        <f t="shared" si="8"/>
        <v>0</v>
      </c>
      <c r="AE13" s="110">
        <f t="shared" si="8"/>
        <v>7.04</v>
      </c>
      <c r="AF13" s="110">
        <f t="shared" si="8"/>
        <v>0</v>
      </c>
      <c r="AG13" s="110">
        <f t="shared" si="8"/>
        <v>0</v>
      </c>
      <c r="AH13" s="111" t="s">
        <v>402</v>
      </c>
      <c r="AI13" s="371">
        <f t="shared" si="5"/>
        <v>57.481719999999996</v>
      </c>
    </row>
    <row r="14" spans="1:35" s="53" customFormat="1" ht="42" customHeight="1" x14ac:dyDescent="0.25">
      <c r="A14" s="558"/>
      <c r="B14" s="560"/>
      <c r="C14" s="112" t="s">
        <v>21</v>
      </c>
      <c r="D14" s="113">
        <f>SUM(J14,L14,N14,P14,R14,T14,V14,X14,Z14,AB14,AD14,AF14)</f>
        <v>822.59999999999991</v>
      </c>
      <c r="E14" s="113">
        <f>J14+L14+N14+P14+R14+T14+V14+X14+Z14+AB14+AD14</f>
        <v>822.59999999999991</v>
      </c>
      <c r="F14" s="113">
        <f>G14</f>
        <v>765.11827999999991</v>
      </c>
      <c r="G14" s="113">
        <f>SUM(K14,M14,O14,Q14,S14,U14,W14,Y14,AA14,AC14,AE14,AG14)</f>
        <v>765.11827999999991</v>
      </c>
      <c r="H14" s="113">
        <f t="shared" ref="H14:H22" si="9">IFERROR(G14/D14*100,0)</f>
        <v>93.012190615122776</v>
      </c>
      <c r="I14" s="113">
        <f t="shared" ref="I14:I22" si="10">IFERROR(G14/E14*100,0)</f>
        <v>93.012190615122776</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321.24772000000002</v>
      </c>
      <c r="AB14" s="114">
        <v>4.4000000000000004</v>
      </c>
      <c r="AC14" s="114">
        <v>1.76</v>
      </c>
      <c r="AD14" s="114">
        <v>0</v>
      </c>
      <c r="AE14" s="114">
        <v>7.04</v>
      </c>
      <c r="AF14" s="114">
        <v>0</v>
      </c>
      <c r="AG14" s="114">
        <v>0</v>
      </c>
      <c r="AH14" s="111"/>
      <c r="AI14" s="371">
        <f t="shared" si="5"/>
        <v>57.481719999999996</v>
      </c>
    </row>
    <row r="15" spans="1:35" s="137" customFormat="1" ht="35.25" customHeight="1" x14ac:dyDescent="0.25">
      <c r="A15" s="561"/>
      <c r="B15" s="559" t="s">
        <v>184</v>
      </c>
      <c r="C15" s="108" t="s">
        <v>20</v>
      </c>
      <c r="D15" s="109">
        <f>D16</f>
        <v>602.75</v>
      </c>
      <c r="E15" s="109">
        <f t="shared" si="7"/>
        <v>602.75</v>
      </c>
      <c r="F15" s="109">
        <f t="shared" si="7"/>
        <v>511.53041000000002</v>
      </c>
      <c r="G15" s="109">
        <f t="shared" si="7"/>
        <v>511.53041000000002</v>
      </c>
      <c r="H15" s="109">
        <f t="shared" si="9"/>
        <v>84.866098714226467</v>
      </c>
      <c r="I15" s="109">
        <f t="shared" si="10"/>
        <v>84.866098714226467</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0.54403999999999997</v>
      </c>
      <c r="AB15" s="110">
        <f t="shared" si="8"/>
        <v>0</v>
      </c>
      <c r="AC15" s="110">
        <f t="shared" si="8"/>
        <v>0.53186</v>
      </c>
      <c r="AD15" s="110">
        <f t="shared" si="8"/>
        <v>0</v>
      </c>
      <c r="AE15" s="110">
        <f t="shared" si="8"/>
        <v>0.51561999999999997</v>
      </c>
      <c r="AF15" s="110">
        <f t="shared" si="8"/>
        <v>0</v>
      </c>
      <c r="AG15" s="110">
        <f t="shared" si="8"/>
        <v>0</v>
      </c>
      <c r="AH15" s="111" t="s">
        <v>402</v>
      </c>
      <c r="AI15" s="371">
        <f t="shared" si="5"/>
        <v>91.219589999999982</v>
      </c>
    </row>
    <row r="16" spans="1:35" s="53" customFormat="1" ht="42" customHeight="1" x14ac:dyDescent="0.25">
      <c r="A16" s="562"/>
      <c r="B16" s="563"/>
      <c r="C16" s="112" t="s">
        <v>21</v>
      </c>
      <c r="D16" s="113">
        <f>SUM(J16,L16,N16,P16,R16,T16,V16,X16,Z16,AB16,AD16,AF16)</f>
        <v>602.75</v>
      </c>
      <c r="E16" s="113">
        <f>J16+L16+N16+P16+R16+T16+V16+X16+Z16+AB16+AD16</f>
        <v>602.75</v>
      </c>
      <c r="F16" s="113">
        <f>G16</f>
        <v>511.53041000000002</v>
      </c>
      <c r="G16" s="113">
        <f>SUM(K16,M16,O16,Q16,S16,U16,W16,Y16,AA16,AC16,AE16,AG16)</f>
        <v>511.53041000000002</v>
      </c>
      <c r="H16" s="113">
        <f t="shared" si="9"/>
        <v>84.866098714226467</v>
      </c>
      <c r="I16" s="113">
        <f t="shared" si="10"/>
        <v>84.866098714226467</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0.54403999999999997</v>
      </c>
      <c r="AB16" s="114">
        <v>0</v>
      </c>
      <c r="AC16" s="114">
        <v>0.53186</v>
      </c>
      <c r="AD16" s="114">
        <v>0</v>
      </c>
      <c r="AE16" s="114">
        <v>0.51561999999999997</v>
      </c>
      <c r="AF16" s="114">
        <v>0</v>
      </c>
      <c r="AG16" s="114">
        <v>0</v>
      </c>
      <c r="AH16" s="111"/>
      <c r="AI16" s="371">
        <f t="shared" si="5"/>
        <v>91.219589999999982</v>
      </c>
    </row>
    <row r="17" spans="1:35" s="137" customFormat="1" ht="42.75" customHeight="1" x14ac:dyDescent="0.25">
      <c r="A17" s="557"/>
      <c r="B17" s="559" t="s">
        <v>185</v>
      </c>
      <c r="C17" s="108" t="s">
        <v>20</v>
      </c>
      <c r="D17" s="109">
        <f>D18</f>
        <v>5107.0994900000005</v>
      </c>
      <c r="E17" s="109">
        <f t="shared" si="7"/>
        <v>2491.5160000000001</v>
      </c>
      <c r="F17" s="109">
        <f t="shared" si="7"/>
        <v>2491.5160000000001</v>
      </c>
      <c r="G17" s="109">
        <f t="shared" si="7"/>
        <v>2491.5160000000001</v>
      </c>
      <c r="H17" s="109">
        <f t="shared" si="9"/>
        <v>48.785342930532963</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225.904</v>
      </c>
      <c r="AD17" s="110">
        <f t="shared" si="8"/>
        <v>225.904</v>
      </c>
      <c r="AE17" s="110">
        <f t="shared" si="8"/>
        <v>225.904</v>
      </c>
      <c r="AF17" s="110">
        <f t="shared" si="8"/>
        <v>2615.58349</v>
      </c>
      <c r="AG17" s="110">
        <f t="shared" si="8"/>
        <v>0</v>
      </c>
      <c r="AH17" s="138"/>
      <c r="AI17" s="371">
        <f t="shared" si="5"/>
        <v>0</v>
      </c>
    </row>
    <row r="18" spans="1:35" s="53" customFormat="1" ht="45.75" customHeight="1" x14ac:dyDescent="0.25">
      <c r="A18" s="558"/>
      <c r="B18" s="560"/>
      <c r="C18" s="112" t="s">
        <v>21</v>
      </c>
      <c r="D18" s="113">
        <f>SUM(J18,L18,N18,P18,R18,T18,V18,X18,Z18,AB18,AD18,AF18)</f>
        <v>5107.0994900000005</v>
      </c>
      <c r="E18" s="113">
        <f>J18+L18+N18+P18+R18+T18+V18+X18+Z18+AB18+AD18</f>
        <v>2491.5160000000001</v>
      </c>
      <c r="F18" s="113">
        <f>G18</f>
        <v>2491.5160000000001</v>
      </c>
      <c r="G18" s="113">
        <f>SUM(K18,M18,O18,Q18,S18,U18,W18,Y18,AA18,AC18,AE18,AG18)</f>
        <v>2491.5160000000001</v>
      </c>
      <c r="H18" s="113">
        <f t="shared" si="9"/>
        <v>48.785342930532963</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225.904</v>
      </c>
      <c r="AD18" s="114">
        <v>225.904</v>
      </c>
      <c r="AE18" s="114">
        <v>225.904</v>
      </c>
      <c r="AF18" s="114">
        <v>2615.58349</v>
      </c>
      <c r="AG18" s="114">
        <v>0</v>
      </c>
      <c r="AH18" s="138"/>
      <c r="AI18" s="371">
        <f t="shared" si="5"/>
        <v>0</v>
      </c>
    </row>
    <row r="19" spans="1:35" s="137" customFormat="1" ht="45.75" customHeight="1" x14ac:dyDescent="0.25">
      <c r="A19" s="557"/>
      <c r="B19" s="564" t="s">
        <v>186</v>
      </c>
      <c r="C19" s="108" t="s">
        <v>20</v>
      </c>
      <c r="D19" s="109">
        <f>D20</f>
        <v>100</v>
      </c>
      <c r="E19" s="109">
        <f t="shared" si="7"/>
        <v>100</v>
      </c>
      <c r="F19" s="109">
        <f t="shared" si="7"/>
        <v>75.180000000000007</v>
      </c>
      <c r="G19" s="109">
        <f t="shared" si="7"/>
        <v>75.180000000000007</v>
      </c>
      <c r="H19" s="109">
        <f t="shared" si="9"/>
        <v>75.180000000000007</v>
      </c>
      <c r="I19" s="109">
        <f t="shared" si="10"/>
        <v>75.180000000000007</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75.180000000000007</v>
      </c>
      <c r="AD19" s="110">
        <f t="shared" si="8"/>
        <v>24.82</v>
      </c>
      <c r="AE19" s="110">
        <f t="shared" si="8"/>
        <v>0</v>
      </c>
      <c r="AF19" s="110">
        <f>AF20</f>
        <v>0</v>
      </c>
      <c r="AG19" s="110">
        <f t="shared" si="8"/>
        <v>0</v>
      </c>
      <c r="AH19" s="111"/>
      <c r="AI19" s="371">
        <f t="shared" si="5"/>
        <v>24.819999999999993</v>
      </c>
    </row>
    <row r="20" spans="1:35" s="53" customFormat="1" ht="44.25" customHeight="1" x14ac:dyDescent="0.25">
      <c r="A20" s="558"/>
      <c r="B20" s="565"/>
      <c r="C20" s="112" t="s">
        <v>21</v>
      </c>
      <c r="D20" s="113">
        <f>SUM(J20,L20,N20,P20,R20,T20,V20,X20,Z20,AB20,AD20,AF20)</f>
        <v>100</v>
      </c>
      <c r="E20" s="113">
        <f>J20+L20+N20+P20+R20+T20+V20+X20+Z20+AB20+AD20</f>
        <v>100</v>
      </c>
      <c r="F20" s="113">
        <f>G20</f>
        <v>75.180000000000007</v>
      </c>
      <c r="G20" s="113">
        <f>SUM(K20,M20,O20,Q20,S20,U20,W20,Y20,AA20,AC20,AE20,AG20)</f>
        <v>75.180000000000007</v>
      </c>
      <c r="H20" s="113">
        <f t="shared" si="9"/>
        <v>75.180000000000007</v>
      </c>
      <c r="I20" s="113">
        <f t="shared" si="10"/>
        <v>75.180000000000007</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75.180000000000007</v>
      </c>
      <c r="AD20" s="114">
        <v>24.82</v>
      </c>
      <c r="AE20" s="114">
        <v>0</v>
      </c>
      <c r="AF20" s="114">
        <v>0</v>
      </c>
      <c r="AG20" s="114">
        <v>0</v>
      </c>
      <c r="AH20" s="111"/>
      <c r="AI20" s="371">
        <f t="shared" si="5"/>
        <v>24.819999999999993</v>
      </c>
    </row>
    <row r="21" spans="1:35" s="137" customFormat="1" ht="35.25" customHeight="1" x14ac:dyDescent="0.25">
      <c r="A21" s="557"/>
      <c r="B21" s="564" t="s">
        <v>187</v>
      </c>
      <c r="C21" s="108" t="s">
        <v>20</v>
      </c>
      <c r="D21" s="109">
        <f>D22</f>
        <v>237.00000000000003</v>
      </c>
      <c r="E21" s="109">
        <f t="shared" si="7"/>
        <v>177.48000000000002</v>
      </c>
      <c r="F21" s="109">
        <f t="shared" si="7"/>
        <v>167.15713000000002</v>
      </c>
      <c r="G21" s="109">
        <f t="shared" si="7"/>
        <v>167.15713000000002</v>
      </c>
      <c r="H21" s="109">
        <f t="shared" si="9"/>
        <v>70.530434599156123</v>
      </c>
      <c r="I21" s="109">
        <f t="shared" si="10"/>
        <v>94.183643227405909</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31.46</v>
      </c>
      <c r="AB21" s="110">
        <f t="shared" si="8"/>
        <v>36.14</v>
      </c>
      <c r="AC21" s="110">
        <f t="shared" si="8"/>
        <v>31.46</v>
      </c>
      <c r="AD21" s="110">
        <f t="shared" si="8"/>
        <v>19.3</v>
      </c>
      <c r="AE21" s="110">
        <f t="shared" si="8"/>
        <v>20.9</v>
      </c>
      <c r="AF21" s="110">
        <f t="shared" si="8"/>
        <v>59.52</v>
      </c>
      <c r="AG21" s="110">
        <f t="shared" si="8"/>
        <v>0</v>
      </c>
      <c r="AH21" s="111" t="s">
        <v>402</v>
      </c>
      <c r="AI21" s="371">
        <f t="shared" si="5"/>
        <v>10.322869999999995</v>
      </c>
    </row>
    <row r="22" spans="1:35" s="53" customFormat="1" ht="42" customHeight="1" x14ac:dyDescent="0.25">
      <c r="A22" s="558"/>
      <c r="B22" s="565"/>
      <c r="C22" s="112" t="s">
        <v>21</v>
      </c>
      <c r="D22" s="113">
        <f>SUM(J22,L22,N22,P22,R22,T22,V22,X22,Z22,AB22,AD22,AF22)</f>
        <v>237.00000000000003</v>
      </c>
      <c r="E22" s="113">
        <f>J22+L22+N22+P22+R22+T22+V22+X22+Z22+AB22+AD22</f>
        <v>177.48000000000002</v>
      </c>
      <c r="F22" s="113">
        <f>G22</f>
        <v>167.15713000000002</v>
      </c>
      <c r="G22" s="113">
        <f>SUM(K22,M22,O22,Q22,S22,U22,W22,Y22,AA22,AC22,AE22,AG22)</f>
        <v>167.15713000000002</v>
      </c>
      <c r="H22" s="113">
        <f t="shared" si="9"/>
        <v>70.530434599156123</v>
      </c>
      <c r="I22" s="113">
        <f t="shared" si="10"/>
        <v>94.183643227405909</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31.46</v>
      </c>
      <c r="AB22" s="114">
        <v>36.14</v>
      </c>
      <c r="AC22" s="114">
        <v>31.46</v>
      </c>
      <c r="AD22" s="114">
        <v>19.3</v>
      </c>
      <c r="AE22" s="114">
        <v>20.9</v>
      </c>
      <c r="AF22" s="114">
        <v>59.52</v>
      </c>
      <c r="AG22" s="114">
        <v>0</v>
      </c>
      <c r="AH22" s="138"/>
      <c r="AI22" s="371">
        <f t="shared" si="5"/>
        <v>10.322869999999995</v>
      </c>
    </row>
    <row r="23" spans="1:35" s="26" customFormat="1" ht="18.75" customHeight="1" x14ac:dyDescent="0.25">
      <c r="A23" s="132" t="s">
        <v>153</v>
      </c>
      <c r="B23" s="502" t="s">
        <v>181</v>
      </c>
      <c r="C23" s="503"/>
      <c r="D23" s="503"/>
      <c r="E23" s="503"/>
      <c r="F23" s="503"/>
      <c r="G23" s="503"/>
      <c r="H23" s="503"/>
      <c r="I23" s="503"/>
      <c r="J23" s="503"/>
      <c r="K23" s="503"/>
      <c r="L23" s="503"/>
      <c r="M23" s="503"/>
      <c r="N23" s="503"/>
      <c r="O23" s="503"/>
      <c r="P23" s="503"/>
      <c r="Q23" s="503"/>
      <c r="R23" s="503"/>
      <c r="S23" s="503"/>
      <c r="T23" s="503"/>
      <c r="U23" s="503"/>
      <c r="V23" s="503"/>
      <c r="W23" s="503"/>
      <c r="X23" s="503"/>
      <c r="Y23" s="503"/>
      <c r="Z23" s="503"/>
      <c r="AA23" s="503"/>
      <c r="AB23" s="503"/>
      <c r="AC23" s="503"/>
      <c r="AD23" s="503"/>
      <c r="AE23" s="503"/>
      <c r="AF23" s="503"/>
      <c r="AG23" s="504"/>
      <c r="AH23" s="75"/>
      <c r="AI23" s="160"/>
    </row>
    <row r="24" spans="1:35" s="21" customFormat="1" ht="82.5" customHeight="1" x14ac:dyDescent="0.25">
      <c r="A24" s="487" t="s">
        <v>162</v>
      </c>
      <c r="B24" s="459" t="s">
        <v>428</v>
      </c>
      <c r="C24" s="57" t="s">
        <v>20</v>
      </c>
      <c r="D24" s="58">
        <f>D25</f>
        <v>8859.99</v>
      </c>
      <c r="E24" s="58">
        <f>E25</f>
        <v>8502.2659999999996</v>
      </c>
      <c r="F24" s="58">
        <f t="shared" ref="E24:G26" si="11">F25</f>
        <v>7971.7287200000001</v>
      </c>
      <c r="G24" s="58">
        <f t="shared" si="11"/>
        <v>7971.7287200000001</v>
      </c>
      <c r="H24" s="58">
        <f t="shared" si="2"/>
        <v>89.974466336869469</v>
      </c>
      <c r="I24" s="58">
        <f t="shared" si="3"/>
        <v>93.760048438851484</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516.38037999999995</v>
      </c>
      <c r="Z24" s="59">
        <f t="shared" si="12"/>
        <v>531.82600000000002</v>
      </c>
      <c r="AA24" s="59">
        <f t="shared" si="12"/>
        <v>812.64107999999999</v>
      </c>
      <c r="AB24" s="59">
        <f t="shared" si="12"/>
        <v>745.57799999999997</v>
      </c>
      <c r="AC24" s="59">
        <f t="shared" si="12"/>
        <v>613.47229000000004</v>
      </c>
      <c r="AD24" s="59">
        <f t="shared" si="12"/>
        <v>707.31899999999996</v>
      </c>
      <c r="AE24" s="59">
        <f t="shared" si="12"/>
        <v>486.59176000000002</v>
      </c>
      <c r="AF24" s="59">
        <f t="shared" si="12"/>
        <v>357.72399999999999</v>
      </c>
      <c r="AG24" s="59">
        <f t="shared" si="12"/>
        <v>0</v>
      </c>
      <c r="AH24" s="64" t="s">
        <v>401</v>
      </c>
      <c r="AI24" s="371">
        <f>E24-G24</f>
        <v>530.53727999999956</v>
      </c>
    </row>
    <row r="25" spans="1:35" s="22" customFormat="1" ht="73.5" customHeight="1" x14ac:dyDescent="0.25">
      <c r="A25" s="489"/>
      <c r="B25" s="461"/>
      <c r="C25" s="388" t="s">
        <v>21</v>
      </c>
      <c r="D25" s="62">
        <f>SUM(J25,L25,N25,P25,R25,T25,V25,X25,Z25,AB25,AD25,AF25)</f>
        <v>8859.99</v>
      </c>
      <c r="E25" s="62">
        <f>J25+L25+N25+P25+R25+T25+V25+X25+Z25+AB25+AD25</f>
        <v>8502.2659999999996</v>
      </c>
      <c r="F25" s="62">
        <f>G25</f>
        <v>7971.7287200000001</v>
      </c>
      <c r="G25" s="62">
        <f>SUM(K25,M25,O25,Q25,S25,U25,W25,Y25,AA25,AC25,AE25,AG25)</f>
        <v>7971.7287200000001</v>
      </c>
      <c r="H25" s="62">
        <f>IFERROR(G25/D25*100,0)</f>
        <v>89.974466336869469</v>
      </c>
      <c r="I25" s="62">
        <f>IFERROR(G25/E25*100,0)</f>
        <v>93.760048438851484</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516.38037999999995</v>
      </c>
      <c r="Z25" s="63">
        <v>531.82600000000002</v>
      </c>
      <c r="AA25" s="63">
        <v>812.64107999999999</v>
      </c>
      <c r="AB25" s="63">
        <v>745.57799999999997</v>
      </c>
      <c r="AC25" s="63">
        <v>613.47229000000004</v>
      </c>
      <c r="AD25" s="63">
        <v>707.31899999999996</v>
      </c>
      <c r="AE25" s="63">
        <v>486.59176000000002</v>
      </c>
      <c r="AF25" s="63">
        <v>357.72399999999999</v>
      </c>
      <c r="AG25" s="63">
        <v>0</v>
      </c>
      <c r="AH25" s="64"/>
      <c r="AI25" s="371">
        <f>E25-G25</f>
        <v>530.53727999999956</v>
      </c>
    </row>
    <row r="26" spans="1:35" s="131" customFormat="1" ht="179.25" customHeight="1" x14ac:dyDescent="0.25">
      <c r="A26" s="487" t="s">
        <v>155</v>
      </c>
      <c r="B26" s="459" t="s">
        <v>188</v>
      </c>
      <c r="C26" s="57" t="s">
        <v>20</v>
      </c>
      <c r="D26" s="58">
        <f>D27</f>
        <v>39622.499999999993</v>
      </c>
      <c r="E26" s="58">
        <f t="shared" si="11"/>
        <v>36189.382999999994</v>
      </c>
      <c r="F26" s="58">
        <f t="shared" si="11"/>
        <v>31933.45537</v>
      </c>
      <c r="G26" s="58">
        <f t="shared" si="11"/>
        <v>31933.45537</v>
      </c>
      <c r="H26" s="58">
        <f>IFERROR(G26/D26*100,0)</f>
        <v>80.594246627547491</v>
      </c>
      <c r="I26" s="58">
        <f>IFERROR(G26/E26*100,0)</f>
        <v>88.239844735678432</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2835.9443999999999</v>
      </c>
      <c r="Z26" s="59">
        <f t="shared" si="12"/>
        <v>2988.7772799999998</v>
      </c>
      <c r="AA26" s="59">
        <f t="shared" si="12"/>
        <v>2731.6021300000002</v>
      </c>
      <c r="AB26" s="59">
        <f t="shared" si="12"/>
        <v>3205.83428</v>
      </c>
      <c r="AC26" s="59">
        <f t="shared" si="12"/>
        <v>2707.0172400000001</v>
      </c>
      <c r="AD26" s="59">
        <f t="shared" si="12"/>
        <v>2958.3772800000002</v>
      </c>
      <c r="AE26" s="59">
        <f t="shared" si="12"/>
        <v>3256.9837400000001</v>
      </c>
      <c r="AF26" s="59">
        <f t="shared" si="12"/>
        <v>3433.1170000000002</v>
      </c>
      <c r="AG26" s="59">
        <f t="shared" si="12"/>
        <v>0</v>
      </c>
      <c r="AH26" s="64" t="s">
        <v>403</v>
      </c>
      <c r="AI26" s="371">
        <f>E26-G26</f>
        <v>4255.9276299999947</v>
      </c>
    </row>
    <row r="27" spans="1:35" s="18" customFormat="1" ht="73.5" customHeight="1" x14ac:dyDescent="0.25">
      <c r="A27" s="489"/>
      <c r="B27" s="461"/>
      <c r="C27" s="388" t="s">
        <v>21</v>
      </c>
      <c r="D27" s="62">
        <f>SUM(J27,L27,N27,P27,R27,T27,V27,X27,Z27,AB27,AD27,AF27)</f>
        <v>39622.499999999993</v>
      </c>
      <c r="E27" s="62">
        <f>J27+L27+N27+P27+R27+T27+V27+X27+Z27+AB27+AD27</f>
        <v>36189.382999999994</v>
      </c>
      <c r="F27" s="62">
        <f>G27</f>
        <v>31933.45537</v>
      </c>
      <c r="G27" s="62">
        <f>SUM(K27,M27,O27,Q27,S27,U27,W27,Y27,AA27,AC27,AE27,AG27)</f>
        <v>31933.45537</v>
      </c>
      <c r="H27" s="62">
        <f>IFERROR(G27/D27*100,0)</f>
        <v>80.594246627547491</v>
      </c>
      <c r="I27" s="62">
        <f>IFERROR(G27/E27*100,0)</f>
        <v>88.239844735678432</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2835.9443999999999</v>
      </c>
      <c r="Z27" s="63">
        <v>2988.7772799999998</v>
      </c>
      <c r="AA27" s="63">
        <v>2731.6021300000002</v>
      </c>
      <c r="AB27" s="63">
        <v>3205.83428</v>
      </c>
      <c r="AC27" s="63">
        <v>2707.0172400000001</v>
      </c>
      <c r="AD27" s="63">
        <v>2958.3772800000002</v>
      </c>
      <c r="AE27" s="63">
        <v>3256.9837400000001</v>
      </c>
      <c r="AF27" s="63">
        <v>3433.1170000000002</v>
      </c>
      <c r="AG27" s="63">
        <v>0</v>
      </c>
      <c r="AH27" s="64"/>
      <c r="AI27" s="371">
        <f>E27-G27</f>
        <v>4255.9276299999947</v>
      </c>
    </row>
    <row r="28" spans="1:35" s="10" customFormat="1" x14ac:dyDescent="0.25">
      <c r="C28" s="17"/>
    </row>
    <row r="29" spans="1:35" x14ac:dyDescent="0.25">
      <c r="G29" s="267"/>
      <c r="I29" s="267"/>
    </row>
  </sheetData>
  <customSheetViews>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3"/>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4"/>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6"/>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7"/>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8"/>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3"/>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6"/>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18"/>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20"/>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1"/>
    </customSheetView>
    <customSheetView guid="{B686A221-D885-4536-BEAC-E7F4BBC02150}" scale="60" showPageBreaks="1">
      <pane xSplit="6" ySplit="7" topLeftCell="G8" activePane="bottomRight" state="frozen"/>
      <selection pane="bottomRight" activeCell="E26" sqref="E26:E27"/>
      <pageMargins left="0.11811023622047245" right="0.11811023622047245" top="0.74803149606299213" bottom="0.74803149606299213" header="0.31496062992125984" footer="0.31496062992125984"/>
      <pageSetup paperSize="9" scale="55" orientation="landscape" r:id="rId22"/>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23"/>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24"/>
    </customSheetView>
    <customSheetView guid="{2940A182-D1A7-43C5-8D6E-965BED4371B0}" scale="80">
      <pane xSplit="6" ySplit="7" topLeftCell="G26" activePane="bottomRight" state="frozen"/>
      <selection pane="bottomRight" activeCell="D12" sqref="D12"/>
      <pageMargins left="0.7" right="0.7" top="0.75" bottom="0.75" header="0.3" footer="0.3"/>
      <pageSetup paperSize="9" orientation="portrait" r:id="rId25"/>
    </customSheetView>
    <customSheetView guid="{A4AF2100-C59D-4F60-9EAB-56D9103463F7}" scale="60">
      <pane xSplit="6" ySplit="7" topLeftCell="G8" activePane="bottomRight" state="frozen"/>
      <selection pane="bottomRight" activeCell="D12" sqref="D12"/>
      <pageMargins left="0.7" right="0.7" top="0.75" bottom="0.75" header="0.3" footer="0.3"/>
      <pageSetup paperSize="9" orientation="portrait" r:id="rId26"/>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27"/>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A26:A27"/>
    <mergeCell ref="B26:B27"/>
    <mergeCell ref="A19:A20"/>
    <mergeCell ref="B19:B20"/>
    <mergeCell ref="A21:A22"/>
    <mergeCell ref="B21:B22"/>
    <mergeCell ref="B23:AG23"/>
    <mergeCell ref="A24:A25"/>
    <mergeCell ref="B24:B25"/>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2" t="s">
        <v>24</v>
      </c>
      <c r="D2" s="472"/>
      <c r="E2" s="472"/>
      <c r="F2" s="472"/>
      <c r="G2" s="472"/>
      <c r="H2" s="472"/>
      <c r="I2" s="472"/>
      <c r="J2" s="472"/>
      <c r="K2" s="472"/>
      <c r="L2" s="472"/>
      <c r="M2" s="472"/>
      <c r="N2" s="472"/>
      <c r="O2" s="472"/>
      <c r="P2" s="472"/>
      <c r="Q2" s="472"/>
      <c r="R2" s="472"/>
      <c r="S2" s="472"/>
      <c r="T2" s="93"/>
      <c r="U2" s="93"/>
      <c r="V2" s="93"/>
      <c r="W2" s="93"/>
      <c r="X2" s="93"/>
      <c r="Y2" s="93"/>
      <c r="Z2" s="93"/>
      <c r="AA2" s="93"/>
      <c r="AB2" s="93"/>
      <c r="AC2" s="93"/>
      <c r="AD2" s="93"/>
      <c r="AE2" s="93"/>
      <c r="AF2" s="93"/>
      <c r="AG2" s="93"/>
      <c r="AH2" s="93"/>
    </row>
    <row r="3" spans="1:35" ht="36.75" customHeight="1" x14ac:dyDescent="0.25">
      <c r="A3" s="92"/>
      <c r="B3" s="92"/>
      <c r="C3" s="473" t="s">
        <v>45</v>
      </c>
      <c r="D3" s="473"/>
      <c r="E3" s="473"/>
      <c r="F3" s="473"/>
      <c r="G3" s="473"/>
      <c r="H3" s="473"/>
      <c r="I3" s="473"/>
      <c r="J3" s="473"/>
      <c r="K3" s="473"/>
      <c r="L3" s="473"/>
      <c r="M3" s="473"/>
      <c r="N3" s="473"/>
      <c r="O3" s="473"/>
      <c r="P3" s="473"/>
      <c r="Q3" s="473"/>
      <c r="R3" s="473"/>
      <c r="S3" s="473"/>
      <c r="T3" s="94"/>
      <c r="U3" s="94"/>
      <c r="V3" s="94"/>
      <c r="W3" s="94"/>
      <c r="X3" s="94"/>
      <c r="Y3" s="94"/>
      <c r="Z3" s="94"/>
      <c r="AA3" s="94"/>
      <c r="AB3" s="94"/>
      <c r="AC3" s="94"/>
      <c r="AD3" s="95"/>
      <c r="AE3" s="95"/>
      <c r="AF3" s="95"/>
      <c r="AG3" s="37" t="s">
        <v>0</v>
      </c>
      <c r="AH3" s="95"/>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59"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88"/>
      <c r="B9" s="460"/>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88"/>
      <c r="B10" s="460"/>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15" t="s">
        <v>46</v>
      </c>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7"/>
      <c r="AH11" s="64"/>
    </row>
    <row r="12" spans="1:35" s="21" customFormat="1" ht="88.5" customHeight="1" x14ac:dyDescent="0.25">
      <c r="A12" s="487" t="s">
        <v>37</v>
      </c>
      <c r="B12" s="459"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88"/>
      <c r="B13" s="460"/>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59" t="s">
        <v>389</v>
      </c>
      <c r="AI13" s="23"/>
    </row>
    <row r="14" spans="1:35" s="21" customFormat="1" ht="339" customHeight="1" x14ac:dyDescent="0.25">
      <c r="A14" s="487" t="s">
        <v>38</v>
      </c>
      <c r="B14" s="459"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388</v>
      </c>
      <c r="AI14" s="20"/>
    </row>
    <row r="15" spans="1:35" s="22" customFormat="1" ht="73.5" customHeight="1" x14ac:dyDescent="0.25">
      <c r="A15" s="489"/>
      <c r="B15" s="461"/>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133BB3F8-8DD4-4AEF-8CD6-A5FB14681329}" scale="80">
      <pane xSplit="6" ySplit="7" topLeftCell="G8" activePane="bottomRight" state="frozen"/>
      <selection pane="bottomRight" activeCell="J31" sqref="J31"/>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B686A221-D885-4536-BEAC-E7F4BBC02150}" scale="80">
      <pane xSplit="6" ySplit="7" topLeftCell="G8" activePane="bottomRight" state="frozen"/>
      <selection pane="bottomRight" activeCell="E16" sqref="E16"/>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11"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13" sqref="J13"/>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7"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4"/>
      <c r="X1" s="5"/>
      <c r="Y1" s="5"/>
      <c r="Z1" s="5"/>
      <c r="AA1" s="5"/>
      <c r="AB1" s="5"/>
      <c r="AC1" s="5"/>
      <c r="AD1" s="96"/>
      <c r="AE1" s="96"/>
      <c r="AF1" s="96"/>
      <c r="AG1" s="3"/>
      <c r="AH1" s="3"/>
    </row>
    <row r="2" spans="1:35" x14ac:dyDescent="0.25">
      <c r="C2" s="472" t="s">
        <v>24</v>
      </c>
      <c r="D2" s="472"/>
      <c r="E2" s="472"/>
      <c r="F2" s="472"/>
      <c r="G2" s="472"/>
      <c r="H2" s="472"/>
      <c r="I2" s="472"/>
      <c r="J2" s="472"/>
      <c r="K2" s="472"/>
      <c r="L2" s="472"/>
      <c r="M2" s="472"/>
      <c r="N2" s="472"/>
      <c r="O2" s="472"/>
      <c r="P2" s="472"/>
      <c r="Q2" s="472"/>
      <c r="R2" s="472"/>
      <c r="S2" s="472"/>
      <c r="T2" s="93"/>
      <c r="U2" s="93"/>
      <c r="V2" s="93"/>
      <c r="W2" s="305"/>
      <c r="X2" s="93"/>
      <c r="Y2" s="93"/>
      <c r="Z2" s="93"/>
      <c r="AA2" s="93"/>
      <c r="AB2" s="93"/>
      <c r="AC2" s="93"/>
      <c r="AD2" s="93"/>
      <c r="AE2" s="93"/>
      <c r="AF2" s="93"/>
      <c r="AG2" s="93"/>
      <c r="AH2" s="93"/>
    </row>
    <row r="3" spans="1:35" ht="36.75" customHeight="1" x14ac:dyDescent="0.25">
      <c r="C3" s="472" t="s">
        <v>25</v>
      </c>
      <c r="D3" s="472"/>
      <c r="E3" s="472"/>
      <c r="F3" s="472"/>
      <c r="G3" s="472"/>
      <c r="H3" s="472"/>
      <c r="I3" s="472"/>
      <c r="J3" s="472"/>
      <c r="K3" s="472"/>
      <c r="L3" s="472"/>
      <c r="M3" s="472"/>
      <c r="N3" s="472"/>
      <c r="O3" s="472"/>
      <c r="P3" s="472"/>
      <c r="Q3" s="472"/>
      <c r="R3" s="472"/>
      <c r="S3" s="472"/>
      <c r="T3" s="94"/>
      <c r="U3" s="94"/>
      <c r="V3" s="94"/>
      <c r="W3" s="306"/>
      <c r="X3" s="94"/>
      <c r="Y3" s="94"/>
      <c r="Z3" s="94"/>
      <c r="AA3" s="94"/>
      <c r="AB3" s="94"/>
      <c r="AC3" s="94"/>
      <c r="AD3" s="95"/>
      <c r="AE3" s="95"/>
      <c r="AF3" s="95"/>
      <c r="AG3" s="37" t="s">
        <v>0</v>
      </c>
      <c r="AH3" s="95"/>
    </row>
    <row r="4" spans="1:35" s="33"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33"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33" customFormat="1" ht="64.5" customHeight="1" x14ac:dyDescent="0.25">
      <c r="A6" s="476"/>
      <c r="B6" s="479"/>
      <c r="C6" s="479"/>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6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65"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19"/>
      <c r="B9" s="467"/>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02" t="s">
        <v>31</v>
      </c>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4"/>
      <c r="AH10" s="64"/>
    </row>
    <row r="11" spans="1:35" s="100" customFormat="1" ht="81.75" customHeight="1" x14ac:dyDescent="0.25">
      <c r="A11" s="423" t="s">
        <v>37</v>
      </c>
      <c r="B11" s="547"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25"/>
      <c r="B12" s="549"/>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361</v>
      </c>
      <c r="AI12" s="106"/>
    </row>
    <row r="13" spans="1:35" s="33" customFormat="1" ht="21" customHeight="1" x14ac:dyDescent="0.25">
      <c r="A13" s="107"/>
      <c r="B13" s="502" t="s">
        <v>32</v>
      </c>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4"/>
      <c r="AH13" s="64"/>
      <c r="AI13" s="106"/>
    </row>
    <row r="14" spans="1:35" s="100" customFormat="1" ht="47.25" customHeight="1" x14ac:dyDescent="0.25">
      <c r="A14" s="423" t="s">
        <v>38</v>
      </c>
      <c r="B14" s="547"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328</v>
      </c>
      <c r="AI14" s="106"/>
    </row>
    <row r="15" spans="1:35" s="33" customFormat="1" ht="42" customHeight="1" x14ac:dyDescent="0.25">
      <c r="A15" s="425"/>
      <c r="B15" s="549"/>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17"/>
      <c r="B16" s="566"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19"/>
      <c r="B17" s="567"/>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17"/>
      <c r="B18" s="566"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19"/>
      <c r="B19" s="567"/>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133BB3F8-8DD4-4AEF-8CD6-A5FB14681329}" scale="80">
      <pane xSplit="6" ySplit="7" topLeftCell="G8"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B686A221-D885-4536-BEAC-E7F4BBC02150}" scale="80">
      <pane xSplit="6" ySplit="7" topLeftCell="G8"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s>
  <mergeCells count="35">
    <mergeCell ref="AH4:AH6"/>
    <mergeCell ref="C2:S2"/>
    <mergeCell ref="C3:S3"/>
    <mergeCell ref="C4:C6"/>
    <mergeCell ref="D4:D5"/>
    <mergeCell ref="E4:E5"/>
    <mergeCell ref="F4:F5"/>
    <mergeCell ref="G4:G5"/>
    <mergeCell ref="H4:I5"/>
    <mergeCell ref="J4:K5"/>
    <mergeCell ref="L4:M5"/>
    <mergeCell ref="N4:O5"/>
    <mergeCell ref="P4:Q5"/>
    <mergeCell ref="R4:S5"/>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B16:B17"/>
    <mergeCell ref="A16:A17"/>
    <mergeCell ref="B18:B19"/>
    <mergeCell ref="A18:A19"/>
    <mergeCell ref="B11:B12"/>
    <mergeCell ref="A11:A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6.75" customHeight="1" x14ac:dyDescent="0.25">
      <c r="A3" s="55"/>
      <c r="B3" s="55"/>
      <c r="C3" s="473" t="s">
        <v>109</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2"/>
      <c r="B8" s="465"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63"/>
      <c r="B9" s="466"/>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63"/>
      <c r="B10" s="466"/>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64"/>
      <c r="B11" s="467"/>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15" t="s">
        <v>84</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46"/>
    </row>
    <row r="13" spans="1:35" s="21" customFormat="1" ht="109.5" customHeight="1" x14ac:dyDescent="0.25">
      <c r="A13" s="423" t="s">
        <v>37</v>
      </c>
      <c r="B13" s="465"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24"/>
      <c r="B14" s="466"/>
      <c r="C14" s="318"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24"/>
      <c r="B15" s="466"/>
      <c r="C15" s="318"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25"/>
      <c r="B16" s="467"/>
      <c r="C16" s="318"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02" t="s">
        <v>85</v>
      </c>
      <c r="C17" s="503"/>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4"/>
      <c r="AH17" s="46"/>
      <c r="AI17" s="20"/>
    </row>
    <row r="18" spans="1:35" s="21" customFormat="1" ht="31.5" customHeight="1" x14ac:dyDescent="0.25">
      <c r="A18" s="423" t="s">
        <v>86</v>
      </c>
      <c r="B18" s="465"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24"/>
      <c r="B19" s="466"/>
      <c r="C19" s="318"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24"/>
      <c r="B20" s="466"/>
      <c r="C20" s="318"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25"/>
      <c r="B21" s="467"/>
      <c r="C21" s="318"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53" t="s">
        <v>38</v>
      </c>
      <c r="B22" s="465"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54"/>
      <c r="B23" s="466"/>
      <c r="C23" s="316"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54"/>
      <c r="B24" s="466"/>
      <c r="C24" s="316"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499"/>
      <c r="B25" s="467"/>
      <c r="C25" s="316"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37" t="s">
        <v>99</v>
      </c>
      <c r="B26" s="451"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38"/>
      <c r="B27" s="452"/>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39"/>
      <c r="B28" s="452"/>
      <c r="C28" s="61" t="s">
        <v>40</v>
      </c>
      <c r="D28" s="317">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39" t="s">
        <v>98</v>
      </c>
      <c r="B29" s="420"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39"/>
      <c r="B30" s="421"/>
      <c r="C30" s="319"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46"/>
      <c r="B31" s="421"/>
      <c r="C31" s="319"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68" t="s">
        <v>97</v>
      </c>
      <c r="B32" s="420"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39"/>
      <c r="B33" s="421"/>
      <c r="C33" s="319"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46"/>
      <c r="B34" s="421"/>
      <c r="C34" s="319"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69" t="s">
        <v>100</v>
      </c>
      <c r="B35" s="420"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39"/>
      <c r="B36" s="421"/>
      <c r="C36" s="319"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46"/>
      <c r="B37" s="421"/>
      <c r="C37" s="319"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69" t="s">
        <v>101</v>
      </c>
      <c r="B38" s="420"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39"/>
      <c r="B39" s="421"/>
      <c r="C39" s="319"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46"/>
      <c r="B40" s="421"/>
      <c r="C40" s="319"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02" t="s">
        <v>88</v>
      </c>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c r="AA41" s="503"/>
      <c r="AB41" s="503"/>
      <c r="AC41" s="503"/>
      <c r="AD41" s="503"/>
      <c r="AE41" s="503"/>
      <c r="AF41" s="503"/>
      <c r="AG41" s="504"/>
      <c r="AH41" s="48"/>
      <c r="AI41" s="20"/>
    </row>
    <row r="42" spans="1:35" s="22" customFormat="1" ht="44.25" customHeight="1" x14ac:dyDescent="0.25">
      <c r="A42" s="453" t="s">
        <v>63</v>
      </c>
      <c r="B42" s="465"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54"/>
      <c r="B43" s="466"/>
      <c r="C43" s="319"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499"/>
      <c r="B44" s="467"/>
      <c r="C44" s="319"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3"/>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5"/>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6"/>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9"/>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1"/>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3"/>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4"/>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6"/>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18"/>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20"/>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22"/>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AB9978E4-895D-4050-8F07-2484E22632D1}" scale="80" hiddenRows="1">
      <pane xSplit="6" ySplit="7" topLeftCell="G8" activePane="bottomRight" state="frozen"/>
      <selection pane="bottomRight" activeCell="J13" sqref="J13"/>
      <pageMargins left="0.7" right="0.7" top="0.75" bottom="0.75" header="0.3" footer="0.3"/>
      <pageSetup paperSize="9" orientation="portrait" r:id="rId24"/>
    </customSheetView>
    <customSheetView guid="{2940A182-D1A7-43C5-8D6E-965BED4371B0}" scale="80" hiddenRows="1">
      <pane xSplit="6" ySplit="7" topLeftCell="G20" activePane="bottomRight" state="frozen"/>
      <selection pane="bottomRight" activeCell="L20" sqref="L20"/>
      <pageMargins left="0.7" right="0.7" top="0.75" bottom="0.75" header="0.3" footer="0.3"/>
      <pageSetup paperSize="9" orientation="portrait" r:id="rId25"/>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27"/>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28"/>
    </customSheetView>
  </customSheetViews>
  <mergeCells count="46">
    <mergeCell ref="A32:A34"/>
    <mergeCell ref="B32:B34"/>
    <mergeCell ref="B41:AG41"/>
    <mergeCell ref="A42:A44"/>
    <mergeCell ref="B42:B44"/>
    <mergeCell ref="A35:A37"/>
    <mergeCell ref="B35:B37"/>
    <mergeCell ref="A38:A40"/>
    <mergeCell ref="B38:B40"/>
    <mergeCell ref="B17:AG17"/>
    <mergeCell ref="A26:A28"/>
    <mergeCell ref="B26:B28"/>
    <mergeCell ref="A29:A31"/>
    <mergeCell ref="B29:B31"/>
    <mergeCell ref="A18:A21"/>
    <mergeCell ref="B18:B21"/>
    <mergeCell ref="A22:A25"/>
    <mergeCell ref="B22:B2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72" t="s">
        <v>24</v>
      </c>
      <c r="D2" s="472"/>
      <c r="E2" s="472"/>
      <c r="F2" s="472"/>
      <c r="G2" s="472"/>
      <c r="H2" s="472"/>
      <c r="I2" s="472"/>
      <c r="J2" s="472"/>
      <c r="K2" s="472"/>
      <c r="L2" s="472"/>
      <c r="M2" s="472"/>
      <c r="N2" s="472"/>
      <c r="O2" s="472"/>
      <c r="P2" s="472"/>
      <c r="Q2" s="472"/>
      <c r="R2" s="472"/>
      <c r="S2" s="472"/>
      <c r="T2" s="93"/>
      <c r="U2" s="93"/>
      <c r="V2" s="93"/>
      <c r="W2" s="93"/>
      <c r="X2" s="93"/>
      <c r="Y2" s="93"/>
      <c r="Z2" s="93"/>
      <c r="AA2" s="93"/>
      <c r="AB2" s="93"/>
      <c r="AC2" s="93"/>
      <c r="AD2" s="93"/>
      <c r="AE2" s="93"/>
      <c r="AF2" s="93"/>
      <c r="AG2" s="93"/>
      <c r="AH2" s="93"/>
    </row>
    <row r="3" spans="1:35" ht="36.75" customHeight="1" x14ac:dyDescent="0.25">
      <c r="C3" s="472" t="s">
        <v>167</v>
      </c>
      <c r="D3" s="472"/>
      <c r="E3" s="472"/>
      <c r="F3" s="472"/>
      <c r="G3" s="472"/>
      <c r="H3" s="472"/>
      <c r="I3" s="472"/>
      <c r="J3" s="472"/>
      <c r="K3" s="472"/>
      <c r="L3" s="472"/>
      <c r="M3" s="472"/>
      <c r="N3" s="472"/>
      <c r="O3" s="472"/>
      <c r="P3" s="472"/>
      <c r="Q3" s="472"/>
      <c r="R3" s="472"/>
      <c r="S3" s="472"/>
      <c r="T3" s="94"/>
      <c r="U3" s="94"/>
      <c r="V3" s="94"/>
      <c r="W3" s="94"/>
      <c r="X3" s="94"/>
      <c r="Y3" s="94"/>
      <c r="Z3" s="94"/>
      <c r="AA3" s="94"/>
      <c r="AB3" s="94"/>
      <c r="AC3" s="94"/>
      <c r="AD3" s="95"/>
      <c r="AE3" s="95"/>
      <c r="AF3" s="95"/>
      <c r="AG3" s="37" t="s">
        <v>0</v>
      </c>
      <c r="AH3" s="95"/>
    </row>
    <row r="4" spans="1:35" s="33" customFormat="1" ht="15" customHeight="1" x14ac:dyDescent="0.25">
      <c r="A4" s="474" t="s">
        <v>26</v>
      </c>
      <c r="B4" s="477" t="s">
        <v>29</v>
      </c>
      <c r="C4" s="477" t="s">
        <v>30</v>
      </c>
      <c r="D4" s="485" t="s">
        <v>1</v>
      </c>
      <c r="E4" s="485" t="s">
        <v>1</v>
      </c>
      <c r="F4" s="485" t="s">
        <v>2</v>
      </c>
      <c r="G4" s="485" t="s">
        <v>3</v>
      </c>
      <c r="H4" s="468" t="s">
        <v>4</v>
      </c>
      <c r="I4" s="469"/>
      <c r="J4" s="570" t="s">
        <v>5</v>
      </c>
      <c r="K4" s="571"/>
      <c r="L4" s="570" t="s">
        <v>6</v>
      </c>
      <c r="M4" s="571"/>
      <c r="N4" s="570" t="s">
        <v>7</v>
      </c>
      <c r="O4" s="571"/>
      <c r="P4" s="570" t="s">
        <v>8</v>
      </c>
      <c r="Q4" s="571"/>
      <c r="R4" s="570" t="s">
        <v>9</v>
      </c>
      <c r="S4" s="571"/>
      <c r="T4" s="468" t="s">
        <v>10</v>
      </c>
      <c r="U4" s="469"/>
      <c r="V4" s="468" t="s">
        <v>11</v>
      </c>
      <c r="W4" s="469"/>
      <c r="X4" s="468" t="s">
        <v>12</v>
      </c>
      <c r="Y4" s="469"/>
      <c r="Z4" s="468" t="s">
        <v>13</v>
      </c>
      <c r="AA4" s="469"/>
      <c r="AB4" s="468" t="s">
        <v>14</v>
      </c>
      <c r="AC4" s="469"/>
      <c r="AD4" s="468" t="s">
        <v>15</v>
      </c>
      <c r="AE4" s="469"/>
      <c r="AF4" s="468" t="s">
        <v>16</v>
      </c>
      <c r="AG4" s="469"/>
      <c r="AH4" s="459" t="s">
        <v>17</v>
      </c>
    </row>
    <row r="5" spans="1:35" s="33" customFormat="1" ht="39" customHeight="1" x14ac:dyDescent="0.25">
      <c r="A5" s="475"/>
      <c r="B5" s="478"/>
      <c r="C5" s="478"/>
      <c r="D5" s="486"/>
      <c r="E5" s="486"/>
      <c r="F5" s="486"/>
      <c r="G5" s="486"/>
      <c r="H5" s="470"/>
      <c r="I5" s="471"/>
      <c r="J5" s="572"/>
      <c r="K5" s="573"/>
      <c r="L5" s="572"/>
      <c r="M5" s="573"/>
      <c r="N5" s="572"/>
      <c r="O5" s="573"/>
      <c r="P5" s="572"/>
      <c r="Q5" s="573"/>
      <c r="R5" s="572"/>
      <c r="S5" s="573"/>
      <c r="T5" s="470"/>
      <c r="U5" s="471"/>
      <c r="V5" s="470"/>
      <c r="W5" s="471"/>
      <c r="X5" s="470"/>
      <c r="Y5" s="471"/>
      <c r="Z5" s="470"/>
      <c r="AA5" s="471"/>
      <c r="AB5" s="470"/>
      <c r="AC5" s="471"/>
      <c r="AD5" s="470"/>
      <c r="AE5" s="471"/>
      <c r="AF5" s="470"/>
      <c r="AG5" s="471"/>
      <c r="AH5" s="460"/>
    </row>
    <row r="6" spans="1:35" s="33" customFormat="1" ht="64.5" customHeight="1" x14ac:dyDescent="0.25">
      <c r="A6" s="476"/>
      <c r="B6" s="479"/>
      <c r="C6" s="479"/>
      <c r="D6" s="38">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59" t="s">
        <v>23</v>
      </c>
      <c r="C8" s="97" t="s">
        <v>20</v>
      </c>
      <c r="D8" s="98">
        <f>SUM(D9:D9)</f>
        <v>59526.729999999996</v>
      </c>
      <c r="E8" s="98">
        <f>SUM(E9:E9)</f>
        <v>59526.729999999996</v>
      </c>
      <c r="F8" s="98">
        <f>SUM(F9:F9)</f>
        <v>58935.23000000001</v>
      </c>
      <c r="G8" s="274">
        <f>SUM(G9:G9)</f>
        <v>58935.23000000001</v>
      </c>
      <c r="H8" s="98">
        <f>IFERROR(G8/D8*100,0)</f>
        <v>99.006328753486059</v>
      </c>
      <c r="I8" s="98">
        <f>IFERROR(G8/E8*100,0)</f>
        <v>99.006328753486059</v>
      </c>
      <c r="J8" s="99">
        <f t="shared" ref="J8:AG8" si="0">SUM(J9:J9)</f>
        <v>7080.5</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4697.53</v>
      </c>
      <c r="Y8" s="99">
        <f t="shared" si="0"/>
        <v>3617.34</v>
      </c>
      <c r="Z8" s="99">
        <f t="shared" si="0"/>
        <v>3614.48</v>
      </c>
      <c r="AA8" s="99">
        <f t="shared" si="0"/>
        <v>5885.22</v>
      </c>
      <c r="AB8" s="99">
        <f t="shared" si="0"/>
        <v>3814.6</v>
      </c>
      <c r="AC8" s="99">
        <f t="shared" si="0"/>
        <v>4000.97</v>
      </c>
      <c r="AD8" s="99">
        <f t="shared" si="0"/>
        <v>4394.5</v>
      </c>
      <c r="AE8" s="99">
        <f t="shared" si="0"/>
        <v>3899.22</v>
      </c>
      <c r="AF8" s="99">
        <f t="shared" si="0"/>
        <v>8401.2000000000007</v>
      </c>
      <c r="AG8" s="99">
        <f t="shared" si="0"/>
        <v>9623.09</v>
      </c>
      <c r="AH8" s="60"/>
    </row>
    <row r="9" spans="1:35" s="33" customFormat="1" ht="38.25" customHeight="1" x14ac:dyDescent="0.25">
      <c r="A9" s="519"/>
      <c r="B9" s="461"/>
      <c r="C9" s="101" t="s">
        <v>21</v>
      </c>
      <c r="D9" s="102">
        <f>D12</f>
        <v>59526.729999999996</v>
      </c>
      <c r="E9" s="102">
        <f>E12</f>
        <v>59526.729999999996</v>
      </c>
      <c r="F9" s="102">
        <f>F12</f>
        <v>58935.23000000001</v>
      </c>
      <c r="G9" s="102">
        <f>G12</f>
        <v>58935.23000000001</v>
      </c>
      <c r="H9" s="102">
        <f>IFERROR(G9/D9*100,0)</f>
        <v>99.006328753486059</v>
      </c>
      <c r="I9" s="102">
        <f>IFERROR(G9/E9*100,0)</f>
        <v>99.006328753486059</v>
      </c>
      <c r="J9" s="103">
        <f>J12</f>
        <v>7080.5</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4697.53</v>
      </c>
      <c r="Y9" s="103">
        <f t="shared" si="1"/>
        <v>3617.34</v>
      </c>
      <c r="Z9" s="103">
        <f t="shared" si="1"/>
        <v>3614.48</v>
      </c>
      <c r="AA9" s="103">
        <f t="shared" si="1"/>
        <v>5885.22</v>
      </c>
      <c r="AB9" s="103">
        <f t="shared" si="1"/>
        <v>3814.6</v>
      </c>
      <c r="AC9" s="103">
        <f t="shared" si="1"/>
        <v>4000.97</v>
      </c>
      <c r="AD9" s="103">
        <f t="shared" si="1"/>
        <v>4394.5</v>
      </c>
      <c r="AE9" s="103">
        <f t="shared" si="1"/>
        <v>3899.22</v>
      </c>
      <c r="AF9" s="103">
        <f t="shared" si="1"/>
        <v>8401.2000000000007</v>
      </c>
      <c r="AG9" s="103">
        <f t="shared" si="1"/>
        <v>9623.09</v>
      </c>
      <c r="AH9" s="64"/>
    </row>
    <row r="10" spans="1:35" s="33" customFormat="1" ht="21" customHeight="1" x14ac:dyDescent="0.25">
      <c r="A10" s="107"/>
      <c r="B10" s="415" t="s">
        <v>168</v>
      </c>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7"/>
      <c r="AH10" s="64"/>
      <c r="AI10" s="106"/>
    </row>
    <row r="11" spans="1:35" s="100" customFormat="1" ht="43.5" customHeight="1" x14ac:dyDescent="0.25">
      <c r="A11" s="423" t="s">
        <v>169</v>
      </c>
      <c r="B11" s="477" t="s">
        <v>170</v>
      </c>
      <c r="C11" s="97" t="s">
        <v>20</v>
      </c>
      <c r="D11" s="98">
        <f>SUM(D12:D12)</f>
        <v>59526.729999999996</v>
      </c>
      <c r="E11" s="98">
        <f>SUM(E12:E12)</f>
        <v>59526.729999999996</v>
      </c>
      <c r="F11" s="98">
        <f>SUM(F12:F12)</f>
        <v>58935.23000000001</v>
      </c>
      <c r="G11" s="98">
        <f>SUM(G12:G12)</f>
        <v>58935.23000000001</v>
      </c>
      <c r="H11" s="98">
        <f>IFERROR(G11/D11*100,0)</f>
        <v>99.006328753486059</v>
      </c>
      <c r="I11" s="98">
        <f>IFERROR(G11/E11*100,0)</f>
        <v>99.006328753486059</v>
      </c>
      <c r="J11" s="99">
        <f t="shared" ref="J11:AG11" si="2">SUM(J12:J12)</f>
        <v>7080.5</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4697.53</v>
      </c>
      <c r="Y11" s="99">
        <f t="shared" si="2"/>
        <v>3617.34</v>
      </c>
      <c r="Z11" s="99">
        <f t="shared" si="2"/>
        <v>3614.48</v>
      </c>
      <c r="AA11" s="99">
        <f t="shared" si="2"/>
        <v>5885.22</v>
      </c>
      <c r="AB11" s="99">
        <f t="shared" si="2"/>
        <v>3814.6</v>
      </c>
      <c r="AC11" s="99">
        <f t="shared" si="2"/>
        <v>4000.97</v>
      </c>
      <c r="AD11" s="99">
        <f t="shared" si="2"/>
        <v>4394.5</v>
      </c>
      <c r="AE11" s="99">
        <f t="shared" si="2"/>
        <v>3899.22</v>
      </c>
      <c r="AF11" s="99">
        <f t="shared" si="2"/>
        <v>8401.2000000000007</v>
      </c>
      <c r="AG11" s="99">
        <f t="shared" si="2"/>
        <v>9623.09</v>
      </c>
      <c r="AH11" s="60"/>
      <c r="AI11" s="106"/>
    </row>
    <row r="12" spans="1:35" s="33" customFormat="1" ht="48" customHeight="1" x14ac:dyDescent="0.25">
      <c r="A12" s="425"/>
      <c r="B12" s="479"/>
      <c r="C12" s="101" t="s">
        <v>21</v>
      </c>
      <c r="D12" s="102">
        <f>SUM(J12,L12,N12,P12,R12,T12,V12,X12,Z12,AB12,AD12,AF12)</f>
        <v>59526.729999999996</v>
      </c>
      <c r="E12" s="102">
        <f>J12+L12+N12+P12+R12+T12+V12+X12+Z12+AB12+AD12+AF12</f>
        <v>59526.729999999996</v>
      </c>
      <c r="F12" s="102">
        <f>G12</f>
        <v>58935.23000000001</v>
      </c>
      <c r="G12" s="102">
        <f>SUM(K12,M12,O12,Q12,S12,U12,W12,Y12,AA12,AC12,AE12,AG12)</f>
        <v>58935.23000000001</v>
      </c>
      <c r="H12" s="102">
        <f>IFERROR(G12/D12*100,0)</f>
        <v>99.006328753486059</v>
      </c>
      <c r="I12" s="102">
        <f>IFERROR(G12/E12*100,0)</f>
        <v>99.006328753486059</v>
      </c>
      <c r="J12" s="181">
        <f t="shared" ref="J12:AF12" si="3">J14</f>
        <v>7080.5</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4697.53</v>
      </c>
      <c r="Y12" s="103">
        <f t="shared" si="3"/>
        <v>3617.34</v>
      </c>
      <c r="Z12" s="103">
        <f t="shared" si="3"/>
        <v>3614.48</v>
      </c>
      <c r="AA12" s="103">
        <f t="shared" si="3"/>
        <v>5885.22</v>
      </c>
      <c r="AB12" s="103">
        <f t="shared" si="3"/>
        <v>3814.6</v>
      </c>
      <c r="AC12" s="103">
        <f t="shared" si="3"/>
        <v>4000.97</v>
      </c>
      <c r="AD12" s="103">
        <f t="shared" si="3"/>
        <v>4394.5</v>
      </c>
      <c r="AE12" s="103">
        <f t="shared" si="3"/>
        <v>3899.22</v>
      </c>
      <c r="AF12" s="103">
        <f t="shared" si="3"/>
        <v>8401.2000000000007</v>
      </c>
      <c r="AG12" s="103">
        <f>AG14</f>
        <v>9623.09</v>
      </c>
      <c r="AH12" s="64"/>
      <c r="AI12" s="106"/>
    </row>
    <row r="13" spans="1:35" s="100" customFormat="1" ht="34.5" customHeight="1" x14ac:dyDescent="0.25">
      <c r="A13" s="517"/>
      <c r="B13" s="574" t="s">
        <v>171</v>
      </c>
      <c r="C13" s="108" t="s">
        <v>20</v>
      </c>
      <c r="D13" s="109">
        <f>D14</f>
        <v>59526.729999999996</v>
      </c>
      <c r="E13" s="109">
        <f>E14</f>
        <v>59526.729999999996</v>
      </c>
      <c r="F13" s="109">
        <f>F14</f>
        <v>58935.23000000001</v>
      </c>
      <c r="G13" s="109">
        <f>G14</f>
        <v>58935.23000000001</v>
      </c>
      <c r="H13" s="109">
        <f>IFERROR(G13/D13*100,0)</f>
        <v>99.006328753486059</v>
      </c>
      <c r="I13" s="109">
        <f>IFERROR(G13/E13*100,0)</f>
        <v>99.006328753486059</v>
      </c>
      <c r="J13" s="110">
        <f>J14</f>
        <v>7080.5</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4697.53</v>
      </c>
      <c r="Y13" s="110">
        <f t="shared" si="4"/>
        <v>3617.34</v>
      </c>
      <c r="Z13" s="110">
        <f t="shared" si="4"/>
        <v>3614.48</v>
      </c>
      <c r="AA13" s="110">
        <f t="shared" si="4"/>
        <v>5885.22</v>
      </c>
      <c r="AB13" s="110">
        <f t="shared" si="4"/>
        <v>3814.6</v>
      </c>
      <c r="AC13" s="110">
        <f t="shared" si="4"/>
        <v>4000.97</v>
      </c>
      <c r="AD13" s="110">
        <f t="shared" si="4"/>
        <v>4394.5</v>
      </c>
      <c r="AE13" s="110">
        <f t="shared" si="4"/>
        <v>3899.22</v>
      </c>
      <c r="AF13" s="110">
        <f t="shared" si="4"/>
        <v>8401.2000000000007</v>
      </c>
      <c r="AG13" s="110">
        <f t="shared" si="4"/>
        <v>9623.09</v>
      </c>
      <c r="AH13" s="111"/>
      <c r="AI13" s="106"/>
    </row>
    <row r="14" spans="1:35" s="33" customFormat="1" ht="43.5" customHeight="1" x14ac:dyDescent="0.25">
      <c r="A14" s="519"/>
      <c r="B14" s="575"/>
      <c r="C14" s="112" t="s">
        <v>21</v>
      </c>
      <c r="D14" s="180">
        <f>SUM(J14,L14,N14,P14,R14,T14,V14,X14,Z14,AB14,AD14,AF14)</f>
        <v>59526.729999999996</v>
      </c>
      <c r="E14" s="113">
        <f>J14+L14+N14+P14+R14+T14+V14+X14+Z14+AB14+AD14+AF14</f>
        <v>59526.729999999996</v>
      </c>
      <c r="F14" s="113">
        <f>G14</f>
        <v>58935.23000000001</v>
      </c>
      <c r="G14" s="113">
        <f>SUM(K14,M14,O14,Q14,S14,U14,W14,Y14,AA14,AC14,AE14,AG14)</f>
        <v>58935.23000000001</v>
      </c>
      <c r="H14" s="113">
        <f>IFERROR(G14/D14*100,0)</f>
        <v>99.006328753486059</v>
      </c>
      <c r="I14" s="113">
        <f>IFERROR(G14/E14*100,0)</f>
        <v>99.006328753486059</v>
      </c>
      <c r="J14" s="181">
        <v>7080.5</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4697.53</v>
      </c>
      <c r="Y14" s="181">
        <v>3617.34</v>
      </c>
      <c r="Z14" s="181">
        <v>3614.48</v>
      </c>
      <c r="AA14" s="181">
        <v>5885.22</v>
      </c>
      <c r="AB14" s="181">
        <v>3814.6</v>
      </c>
      <c r="AC14" s="181">
        <v>4000.97</v>
      </c>
      <c r="AD14" s="181">
        <v>4394.5</v>
      </c>
      <c r="AE14" s="181">
        <v>3899.22</v>
      </c>
      <c r="AF14" s="181">
        <v>8401.2000000000007</v>
      </c>
      <c r="AG14" s="114">
        <v>9623.09</v>
      </c>
      <c r="AH14" s="111"/>
      <c r="AI14" s="106"/>
    </row>
    <row r="19" spans="11:11" x14ac:dyDescent="0.25">
      <c r="K19" s="136"/>
    </row>
  </sheetData>
  <customSheetViews>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1"/>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3"/>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4"/>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5"/>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6"/>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7"/>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8"/>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3"/>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6"/>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18"/>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20"/>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1"/>
    </customSheetView>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22"/>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23"/>
    </customSheetView>
    <customSheetView guid="{AB9978E4-895D-4050-8F07-2484E22632D1}" scale="80">
      <pane xSplit="6" ySplit="7" topLeftCell="G8" activePane="bottomRight" state="frozen"/>
      <selection pane="bottomRight" activeCell="I25" sqref="I25"/>
      <pageMargins left="0.7" right="0.7" top="0.75" bottom="0.75" header="0.3" footer="0.3"/>
      <pageSetup paperSize="9" orientation="portrait" r:id="rId24"/>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25"/>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26"/>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27"/>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28"/>
    </customSheetView>
  </customSheetViews>
  <mergeCells count="30">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80" workbookViewId="0">
      <pane xSplit="6" ySplit="7" topLeftCell="G8"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27" customHeight="1" x14ac:dyDescent="0.25">
      <c r="A3" s="55"/>
      <c r="B3" s="55"/>
      <c r="C3" s="473" t="s">
        <v>298</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80" t="s">
        <v>30</v>
      </c>
      <c r="D4" s="483"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81"/>
      <c r="D5" s="484"/>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82"/>
      <c r="D6" s="121">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2"/>
      <c r="B8" s="576" t="s">
        <v>23</v>
      </c>
      <c r="C8" s="187" t="s">
        <v>20</v>
      </c>
      <c r="D8" s="188">
        <f>D9+D10</f>
        <v>127482.94100000001</v>
      </c>
      <c r="E8" s="188">
        <f>E10+E9</f>
        <v>111580.053</v>
      </c>
      <c r="F8" s="188">
        <f>F10+F9</f>
        <v>121219.68599999999</v>
      </c>
      <c r="G8" s="188">
        <f t="shared" ref="G8" si="0">G10+G9</f>
        <v>121219.68599999999</v>
      </c>
      <c r="H8" s="188">
        <f>IFERROR(G8/D8*100,0)</f>
        <v>95.086985795221011</v>
      </c>
      <c r="I8" s="188">
        <f>IFERROR(G8/E8*100,0)</f>
        <v>108.63920812082782</v>
      </c>
      <c r="J8" s="189">
        <f>J9+J10</f>
        <v>19802.845000000001</v>
      </c>
      <c r="K8" s="189">
        <f t="shared" ref="K8:AG8" si="1">K9+K10</f>
        <v>16477.891</v>
      </c>
      <c r="L8" s="189">
        <f t="shared" si="1"/>
        <v>12187.657000000001</v>
      </c>
      <c r="M8" s="189">
        <f t="shared" si="1"/>
        <v>11974.710999999999</v>
      </c>
      <c r="N8" s="189">
        <f t="shared" si="1"/>
        <v>12075.298999999999</v>
      </c>
      <c r="O8" s="189">
        <f t="shared" si="1"/>
        <v>12217.707999999999</v>
      </c>
      <c r="P8" s="189">
        <f t="shared" si="1"/>
        <v>12802.409</v>
      </c>
      <c r="Q8" s="189">
        <f t="shared" si="1"/>
        <v>10583.614000000001</v>
      </c>
      <c r="R8" s="189">
        <f t="shared" si="1"/>
        <v>9201.6080000000002</v>
      </c>
      <c r="S8" s="189">
        <f t="shared" si="1"/>
        <v>7692.5949999999993</v>
      </c>
      <c r="T8" s="189">
        <f t="shared" si="1"/>
        <v>6838.0249999999996</v>
      </c>
      <c r="U8" s="189">
        <f t="shared" si="1"/>
        <v>8418.5439999999999</v>
      </c>
      <c r="V8" s="189">
        <f t="shared" si="1"/>
        <v>12715.686999999998</v>
      </c>
      <c r="W8" s="189">
        <f t="shared" si="1"/>
        <v>11880.299000000001</v>
      </c>
      <c r="X8" s="189">
        <f t="shared" si="1"/>
        <v>9647.6530000000002</v>
      </c>
      <c r="Y8" s="189">
        <f t="shared" si="1"/>
        <v>9139.01</v>
      </c>
      <c r="Z8" s="189">
        <f t="shared" si="1"/>
        <v>8802.3019999999997</v>
      </c>
      <c r="AA8" s="189">
        <f t="shared" si="1"/>
        <v>10007.205</v>
      </c>
      <c r="AB8" s="189">
        <f t="shared" si="1"/>
        <v>7506.5680000000002</v>
      </c>
      <c r="AC8" s="189">
        <f t="shared" si="1"/>
        <v>7662.3409999999994</v>
      </c>
      <c r="AD8" s="189">
        <f t="shared" si="1"/>
        <v>8723.9210000000003</v>
      </c>
      <c r="AE8" s="189">
        <f t="shared" si="1"/>
        <v>7840.6400000000012</v>
      </c>
      <c r="AF8" s="189">
        <f t="shared" si="1"/>
        <v>7178.9669999999996</v>
      </c>
      <c r="AG8" s="189">
        <f t="shared" si="1"/>
        <v>7325.1280000000006</v>
      </c>
      <c r="AH8" s="72"/>
    </row>
    <row r="9" spans="1:35" s="26" customFormat="1" ht="40.5" customHeight="1" x14ac:dyDescent="0.25">
      <c r="A9" s="463"/>
      <c r="B9" s="577"/>
      <c r="C9" s="296" t="s">
        <v>360</v>
      </c>
      <c r="D9" s="191">
        <f>J9+L9+N9+P9+R9+T9+V9+X9+Z9+AB9+AD9+AF9</f>
        <v>127054.94100000001</v>
      </c>
      <c r="E9" s="191">
        <f>J9+L9+N9+P9+R9+T9+V9+X9+Z9+AB9</f>
        <v>111152.053</v>
      </c>
      <c r="F9" s="191">
        <f>G9</f>
        <v>121219.68599999999</v>
      </c>
      <c r="G9" s="191">
        <f>K9+M9+O9+Q9+S9+U9+W9+Y9+AA9+AC9+AE9+AG9</f>
        <v>121219.68599999999</v>
      </c>
      <c r="H9" s="191">
        <f>IFERROR(G9/D9*100,0)</f>
        <v>95.407297855500147</v>
      </c>
      <c r="I9" s="191">
        <f>IFERROR(G9/E9*100,0)</f>
        <v>109.05753220770468</v>
      </c>
      <c r="J9" s="191">
        <f t="shared" ref="J9:AG9" si="2">J13+J22+J25+J30+J55</f>
        <v>19786.945</v>
      </c>
      <c r="K9" s="191">
        <f t="shared" si="2"/>
        <v>16477.891</v>
      </c>
      <c r="L9" s="191">
        <f t="shared" si="2"/>
        <v>11775.557000000001</v>
      </c>
      <c r="M9" s="191">
        <f t="shared" si="2"/>
        <v>11974.710999999999</v>
      </c>
      <c r="N9" s="191">
        <f t="shared" si="2"/>
        <v>12075.298999999999</v>
      </c>
      <c r="O9" s="191">
        <f t="shared" si="2"/>
        <v>12217.707999999999</v>
      </c>
      <c r="P9" s="191">
        <f t="shared" si="2"/>
        <v>12802.409</v>
      </c>
      <c r="Q9" s="191">
        <f t="shared" si="2"/>
        <v>10583.614000000001</v>
      </c>
      <c r="R9" s="191">
        <f t="shared" si="2"/>
        <v>9201.6080000000002</v>
      </c>
      <c r="S9" s="191">
        <f t="shared" si="2"/>
        <v>7692.5949999999993</v>
      </c>
      <c r="T9" s="191">
        <f t="shared" si="2"/>
        <v>6838.0249999999996</v>
      </c>
      <c r="U9" s="191">
        <f t="shared" si="2"/>
        <v>8418.5439999999999</v>
      </c>
      <c r="V9" s="191">
        <f t="shared" si="2"/>
        <v>12715.686999999998</v>
      </c>
      <c r="W9" s="191">
        <f t="shared" si="2"/>
        <v>11880.299000000001</v>
      </c>
      <c r="X9" s="191">
        <f t="shared" si="2"/>
        <v>9647.6530000000002</v>
      </c>
      <c r="Y9" s="191">
        <f t="shared" si="2"/>
        <v>9139.01</v>
      </c>
      <c r="Z9" s="191">
        <f t="shared" si="2"/>
        <v>8802.3019999999997</v>
      </c>
      <c r="AA9" s="191">
        <f t="shared" si="2"/>
        <v>10007.205</v>
      </c>
      <c r="AB9" s="191">
        <f t="shared" si="2"/>
        <v>7506.5680000000002</v>
      </c>
      <c r="AC9" s="191">
        <f t="shared" si="2"/>
        <v>7662.3409999999994</v>
      </c>
      <c r="AD9" s="191">
        <f t="shared" si="2"/>
        <v>8723.9210000000003</v>
      </c>
      <c r="AE9" s="191">
        <f t="shared" si="2"/>
        <v>7840.6400000000012</v>
      </c>
      <c r="AF9" s="191">
        <f t="shared" si="2"/>
        <v>7178.9669999999996</v>
      </c>
      <c r="AG9" s="191">
        <f t="shared" si="2"/>
        <v>7325.1280000000006</v>
      </c>
      <c r="AH9" s="75"/>
    </row>
    <row r="10" spans="1:35" s="26" customFormat="1" ht="34.5" customHeight="1" x14ac:dyDescent="0.25">
      <c r="A10" s="464"/>
      <c r="B10" s="578"/>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15" t="s">
        <v>299</v>
      </c>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7"/>
      <c r="AH11" s="46"/>
    </row>
    <row r="12" spans="1:35" s="21" customFormat="1" ht="23.25" customHeight="1" x14ac:dyDescent="0.25">
      <c r="A12" s="579" t="s">
        <v>37</v>
      </c>
      <c r="B12" s="581" t="s">
        <v>300</v>
      </c>
      <c r="C12" s="182" t="s">
        <v>20</v>
      </c>
      <c r="D12" s="183">
        <f>D13</f>
        <v>7799.4</v>
      </c>
      <c r="E12" s="183">
        <f>E13</f>
        <v>7799.4</v>
      </c>
      <c r="F12" s="183">
        <f t="shared" ref="F12:G12" si="7">F13</f>
        <v>7799.4</v>
      </c>
      <c r="G12" s="183">
        <f t="shared" si="7"/>
        <v>7799.4</v>
      </c>
      <c r="H12" s="183">
        <f t="shared" ref="H12:H29" si="8">IFERROR(G12/D12*100,0)</f>
        <v>100</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1300</v>
      </c>
      <c r="AH12" s="60"/>
      <c r="AI12" s="23"/>
    </row>
    <row r="13" spans="1:35" s="22" customFormat="1" ht="48" customHeight="1" x14ac:dyDescent="0.25">
      <c r="A13" s="580"/>
      <c r="B13" s="582"/>
      <c r="C13" s="185" t="s">
        <v>21</v>
      </c>
      <c r="D13" s="186">
        <f>SUM(J13,L13,N13,P13,R13,T13,V13,X13,Z13,AB13,AD13,AF13)</f>
        <v>7799.4</v>
      </c>
      <c r="E13" s="186">
        <f>E15+E17+E19</f>
        <v>7799.4</v>
      </c>
      <c r="F13" s="186">
        <f>G13</f>
        <v>7799.4</v>
      </c>
      <c r="G13" s="186">
        <f>SUM(K13,M13,O13,Q13,S13,U13,W13,Y13,AA13,AC13,AE13,AG13)</f>
        <v>7799.4</v>
      </c>
      <c r="H13" s="186">
        <f t="shared" si="8"/>
        <v>100</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1300</v>
      </c>
      <c r="AH13" s="64"/>
      <c r="AI13" s="20"/>
    </row>
    <row r="14" spans="1:35" s="21" customFormat="1" ht="48" customHeight="1" x14ac:dyDescent="0.25">
      <c r="A14" s="423"/>
      <c r="B14" s="530" t="s">
        <v>301</v>
      </c>
      <c r="C14" s="125" t="s">
        <v>20</v>
      </c>
      <c r="D14" s="70">
        <f>D15</f>
        <v>1000</v>
      </c>
      <c r="E14" s="70">
        <f>E15</f>
        <v>1000</v>
      </c>
      <c r="F14" s="70">
        <f t="shared" ref="F14:G14" si="12">F15</f>
        <v>1000</v>
      </c>
      <c r="G14" s="70">
        <f t="shared" si="12"/>
        <v>1000</v>
      </c>
      <c r="H14" s="58">
        <f t="shared" si="8"/>
        <v>100</v>
      </c>
      <c r="I14" s="58">
        <f t="shared" si="9"/>
        <v>100</v>
      </c>
      <c r="J14" s="58">
        <f>J15</f>
        <v>0</v>
      </c>
      <c r="K14" s="58">
        <f t="shared" ref="K14:AF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v>1000</v>
      </c>
      <c r="AH14" s="219" t="s">
        <v>429</v>
      </c>
      <c r="AI14" s="23"/>
    </row>
    <row r="15" spans="1:35" s="22" customFormat="1" ht="61.9" customHeight="1" x14ac:dyDescent="0.25">
      <c r="A15" s="425"/>
      <c r="B15" s="532"/>
      <c r="C15" s="126" t="s">
        <v>21</v>
      </c>
      <c r="D15" s="74">
        <f>SUM(J15,L15,N15,P15,R15,T15,V15,X15,Z15,AB15,AD15,AF15)</f>
        <v>1000</v>
      </c>
      <c r="E15" s="62">
        <f>J15+L15++N15+P15+R15+T15+V15+X15+Z15+AB15+AD15+AF15</f>
        <v>1000</v>
      </c>
      <c r="F15" s="62">
        <f>G15</f>
        <v>1000</v>
      </c>
      <c r="G15" s="62">
        <f>SUM(K15,M15,O15,Q15,S15,U15,W15,Y15,AA15,AC15,AE15,AG15)</f>
        <v>1000</v>
      </c>
      <c r="H15" s="62">
        <f t="shared" si="8"/>
        <v>100</v>
      </c>
      <c r="I15" s="62">
        <f t="shared" si="9"/>
        <v>100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1000</v>
      </c>
      <c r="AH15" s="220"/>
      <c r="AI15" s="20"/>
    </row>
    <row r="16" spans="1:35" s="21" customFormat="1" ht="375.6" customHeight="1" x14ac:dyDescent="0.25">
      <c r="A16" s="423"/>
      <c r="B16" s="530"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19" t="s">
        <v>463</v>
      </c>
      <c r="AI16" s="23"/>
    </row>
    <row r="17" spans="1:35" s="22" customFormat="1" ht="67.900000000000006" customHeight="1" x14ac:dyDescent="0.25">
      <c r="A17" s="425"/>
      <c r="B17" s="532"/>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23"/>
      <c r="B18" s="530" t="s">
        <v>303</v>
      </c>
      <c r="C18" s="125" t="s">
        <v>20</v>
      </c>
      <c r="D18" s="70">
        <f>D19</f>
        <v>300</v>
      </c>
      <c r="E18" s="70">
        <f>E19</f>
        <v>300</v>
      </c>
      <c r="F18" s="70">
        <f t="shared" ref="F18:G18" si="16">F19</f>
        <v>300</v>
      </c>
      <c r="G18" s="70">
        <f t="shared" si="16"/>
        <v>300</v>
      </c>
      <c r="H18" s="58">
        <f t="shared" si="8"/>
        <v>100</v>
      </c>
      <c r="I18" s="58">
        <f t="shared" si="9"/>
        <v>100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300</v>
      </c>
      <c r="AH18" s="219"/>
      <c r="AI18" s="23"/>
    </row>
    <row r="19" spans="1:35" s="22" customFormat="1" ht="64.900000000000006" customHeight="1" x14ac:dyDescent="0.25">
      <c r="A19" s="425"/>
      <c r="B19" s="532"/>
      <c r="C19" s="126" t="s">
        <v>21</v>
      </c>
      <c r="D19" s="74">
        <f>SUM(J19,L19,N19,P19,R19,T19,V19,X19,Z19,AB19,AD19,AF19)</f>
        <v>300</v>
      </c>
      <c r="E19" s="62">
        <f>J19+L19+N19+P19+R19+T19+V19+X19+Z19+AB19+AD19+AF19</f>
        <v>300</v>
      </c>
      <c r="F19" s="62">
        <f>G19</f>
        <v>300</v>
      </c>
      <c r="G19" s="62">
        <f>SUM(K19,M19,O19,Q19,S19,U19,W19,Y19,AA19,AC19,AE19,AG19)</f>
        <v>300</v>
      </c>
      <c r="H19" s="62">
        <f t="shared" si="8"/>
        <v>100</v>
      </c>
      <c r="I19" s="62">
        <f t="shared" si="9"/>
        <v>100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300</v>
      </c>
      <c r="AH19" s="64"/>
      <c r="AI19" s="20"/>
    </row>
    <row r="20" spans="1:35" s="22" customFormat="1" ht="29.25" customHeight="1" x14ac:dyDescent="0.25">
      <c r="A20" s="161"/>
      <c r="B20" s="415" t="s">
        <v>304</v>
      </c>
      <c r="C20" s="416"/>
      <c r="D20" s="416"/>
      <c r="E20" s="416"/>
      <c r="F20" s="416"/>
      <c r="G20" s="416"/>
      <c r="H20" s="416"/>
      <c r="I20" s="416"/>
      <c r="J20" s="416"/>
      <c r="K20" s="416"/>
      <c r="L20" s="416"/>
      <c r="M20" s="416"/>
      <c r="N20" s="416"/>
      <c r="O20" s="416"/>
      <c r="P20" s="416"/>
      <c r="Q20" s="416"/>
      <c r="R20" s="416"/>
      <c r="S20" s="416"/>
      <c r="T20" s="416"/>
      <c r="U20" s="416"/>
      <c r="V20" s="416"/>
      <c r="W20" s="416"/>
      <c r="X20" s="416"/>
      <c r="Y20" s="416"/>
      <c r="Z20" s="416"/>
      <c r="AA20" s="416"/>
      <c r="AB20" s="416"/>
      <c r="AC20" s="416"/>
      <c r="AD20" s="416"/>
      <c r="AE20" s="416"/>
      <c r="AF20" s="416"/>
      <c r="AG20" s="417"/>
      <c r="AH20" s="64"/>
      <c r="AI20" s="20"/>
    </row>
    <row r="21" spans="1:35" s="21" customFormat="1" ht="55.5" customHeight="1" x14ac:dyDescent="0.25">
      <c r="A21" s="423" t="s">
        <v>38</v>
      </c>
      <c r="B21" s="429" t="s">
        <v>305</v>
      </c>
      <c r="C21" s="125" t="s">
        <v>20</v>
      </c>
      <c r="D21" s="70">
        <f>D22</f>
        <v>1501.5</v>
      </c>
      <c r="E21" s="70">
        <f>E22</f>
        <v>1501.5</v>
      </c>
      <c r="F21" s="70">
        <f t="shared" ref="F21:G21" si="18">F22</f>
        <v>1501.5</v>
      </c>
      <c r="G21" s="70">
        <f t="shared" si="18"/>
        <v>1501.5</v>
      </c>
      <c r="H21" s="58">
        <f t="shared" si="8"/>
        <v>100</v>
      </c>
      <c r="I21" s="58">
        <f t="shared" si="9"/>
        <v>100</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1501.5</v>
      </c>
      <c r="Y21" s="58">
        <f t="shared" si="19"/>
        <v>1501.5</v>
      </c>
      <c r="Z21" s="58">
        <f t="shared" si="19"/>
        <v>0</v>
      </c>
      <c r="AA21" s="58">
        <f t="shared" si="19"/>
        <v>0</v>
      </c>
      <c r="AB21" s="58">
        <f t="shared" si="19"/>
        <v>0</v>
      </c>
      <c r="AC21" s="58">
        <f t="shared" si="19"/>
        <v>0</v>
      </c>
      <c r="AD21" s="58">
        <f t="shared" si="19"/>
        <v>0</v>
      </c>
      <c r="AE21" s="58">
        <f t="shared" si="19"/>
        <v>0</v>
      </c>
      <c r="AF21" s="58">
        <f t="shared" si="19"/>
        <v>0</v>
      </c>
      <c r="AG21" s="58">
        <f t="shared" si="19"/>
        <v>0</v>
      </c>
      <c r="AH21" s="60"/>
      <c r="AI21" s="23"/>
    </row>
    <row r="22" spans="1:35" s="22" customFormat="1" ht="95.45" customHeight="1" x14ac:dyDescent="0.25">
      <c r="A22" s="425"/>
      <c r="B22" s="431"/>
      <c r="C22" s="126" t="s">
        <v>21</v>
      </c>
      <c r="D22" s="74">
        <f>SUM(J22,L22,N22,P22,R22,T22,V22,X22,Z22,AB22,AD22,AF22)</f>
        <v>1501.5</v>
      </c>
      <c r="E22" s="67">
        <f>J22+L22+N22+P22+R22+T22+V22+X22+Z22+AB22</f>
        <v>1501.5</v>
      </c>
      <c r="F22" s="67">
        <f>G22</f>
        <v>1501.5</v>
      </c>
      <c r="G22" s="67">
        <f>SUM(K22,M22,O22,Q22,S22,U22,W22,Y22,AA22,AC22,AE22,AG22)</f>
        <v>1501.5</v>
      </c>
      <c r="H22" s="62">
        <f t="shared" si="8"/>
        <v>100</v>
      </c>
      <c r="I22" s="62">
        <f t="shared" si="9"/>
        <v>100</v>
      </c>
      <c r="J22" s="67">
        <v>0</v>
      </c>
      <c r="K22" s="67">
        <v>0</v>
      </c>
      <c r="L22" s="67">
        <v>0</v>
      </c>
      <c r="M22" s="67">
        <v>0</v>
      </c>
      <c r="N22" s="67">
        <v>0</v>
      </c>
      <c r="O22" s="67">
        <v>0</v>
      </c>
      <c r="P22" s="67">
        <v>0</v>
      </c>
      <c r="Q22" s="67">
        <v>0</v>
      </c>
      <c r="R22" s="67">
        <v>0</v>
      </c>
      <c r="S22" s="67">
        <v>0</v>
      </c>
      <c r="T22" s="67">
        <v>0</v>
      </c>
      <c r="U22" s="67">
        <v>0</v>
      </c>
      <c r="V22" s="67">
        <v>0</v>
      </c>
      <c r="W22" s="67">
        <v>0</v>
      </c>
      <c r="X22" s="67">
        <v>1501.5</v>
      </c>
      <c r="Y22" s="67">
        <v>1501.5</v>
      </c>
      <c r="Z22" s="67">
        <v>0</v>
      </c>
      <c r="AA22" s="67">
        <v>0</v>
      </c>
      <c r="AB22" s="67">
        <v>0</v>
      </c>
      <c r="AC22" s="67">
        <v>0</v>
      </c>
      <c r="AD22" s="67">
        <v>0</v>
      </c>
      <c r="AE22" s="67">
        <v>0</v>
      </c>
      <c r="AF22" s="67">
        <v>0</v>
      </c>
      <c r="AG22" s="67">
        <v>0</v>
      </c>
      <c r="AH22" s="64" t="s">
        <v>378</v>
      </c>
      <c r="AI22" s="20"/>
    </row>
    <row r="23" spans="1:35" s="22" customFormat="1" ht="27.6" customHeight="1" x14ac:dyDescent="0.25">
      <c r="A23" s="161"/>
      <c r="B23" s="415" t="s">
        <v>306</v>
      </c>
      <c r="C23" s="416"/>
      <c r="D23" s="416"/>
      <c r="E23" s="416"/>
      <c r="F23" s="416"/>
      <c r="G23" s="416"/>
      <c r="H23" s="416"/>
      <c r="I23" s="416"/>
      <c r="J23" s="416"/>
      <c r="K23" s="416"/>
      <c r="L23" s="416"/>
      <c r="M23" s="416"/>
      <c r="N23" s="416"/>
      <c r="O23" s="416"/>
      <c r="P23" s="416"/>
      <c r="Q23" s="416"/>
      <c r="R23" s="416"/>
      <c r="S23" s="416"/>
      <c r="T23" s="416"/>
      <c r="U23" s="416"/>
      <c r="V23" s="416"/>
      <c r="W23" s="416"/>
      <c r="X23" s="416"/>
      <c r="Y23" s="416"/>
      <c r="Z23" s="416"/>
      <c r="AA23" s="416"/>
      <c r="AB23" s="416"/>
      <c r="AC23" s="416"/>
      <c r="AD23" s="416"/>
      <c r="AE23" s="416"/>
      <c r="AF23" s="416"/>
      <c r="AG23" s="417"/>
      <c r="AH23" s="64"/>
      <c r="AI23" s="20"/>
    </row>
    <row r="24" spans="1:35" s="168" customFormat="1" ht="55.5" customHeight="1" x14ac:dyDescent="0.25">
      <c r="A24" s="584" t="s">
        <v>264</v>
      </c>
      <c r="B24" s="586" t="s">
        <v>307</v>
      </c>
      <c r="C24" s="193" t="s">
        <v>20</v>
      </c>
      <c r="D24" s="194">
        <f>D25</f>
        <v>18890.194999999996</v>
      </c>
      <c r="E24" s="194">
        <f t="shared" ref="E24:G24" si="20">E25</f>
        <v>18890.194999999996</v>
      </c>
      <c r="F24" s="194">
        <f>F25</f>
        <v>17651.14</v>
      </c>
      <c r="G24" s="194">
        <f t="shared" si="20"/>
        <v>17651.14</v>
      </c>
      <c r="H24" s="194">
        <f t="shared" ref="H24:H25" si="21">IFERROR(G24/D24*100,0)</f>
        <v>93.440750611626839</v>
      </c>
      <c r="I24" s="194">
        <f t="shared" ref="I24:I25" si="22">IFERROR(G24/E24*100,0)</f>
        <v>93.440750611626839</v>
      </c>
      <c r="J24" s="194">
        <f>J25</f>
        <v>1624.8619999999999</v>
      </c>
      <c r="K24" s="194">
        <f t="shared" ref="K24:AG24" si="23">K25</f>
        <v>684.62</v>
      </c>
      <c r="L24" s="194">
        <f t="shared" si="23"/>
        <v>1365.4489999999998</v>
      </c>
      <c r="M24" s="194">
        <f>M25</f>
        <v>1630.575</v>
      </c>
      <c r="N24" s="194">
        <f t="shared" si="23"/>
        <v>1499.289</v>
      </c>
      <c r="O24" s="194">
        <f t="shared" si="23"/>
        <v>1420.9749999999999</v>
      </c>
      <c r="P24" s="194">
        <f t="shared" si="23"/>
        <v>1712.4780000000001</v>
      </c>
      <c r="Q24" s="194">
        <f t="shared" si="23"/>
        <v>1534.615</v>
      </c>
      <c r="R24" s="194">
        <f t="shared" si="23"/>
        <v>1532.3329999999999</v>
      </c>
      <c r="S24" s="194">
        <f t="shared" si="23"/>
        <v>1322.0149999999999</v>
      </c>
      <c r="T24" s="194">
        <f t="shared" si="23"/>
        <v>1639.8340000000001</v>
      </c>
      <c r="U24" s="194">
        <f t="shared" si="23"/>
        <v>1316.7449999999999</v>
      </c>
      <c r="V24" s="194">
        <f t="shared" si="23"/>
        <v>1986.8129999999999</v>
      </c>
      <c r="W24" s="194">
        <f t="shared" si="23"/>
        <v>1782.0700000000002</v>
      </c>
      <c r="X24" s="194">
        <f t="shared" si="23"/>
        <v>1600.9949999999999</v>
      </c>
      <c r="Y24" s="194">
        <f t="shared" si="23"/>
        <v>1448.085</v>
      </c>
      <c r="Z24" s="194">
        <f t="shared" si="23"/>
        <v>1411.934</v>
      </c>
      <c r="AA24" s="194">
        <f t="shared" si="23"/>
        <v>1400.075</v>
      </c>
      <c r="AB24" s="194">
        <f t="shared" si="23"/>
        <v>1415.3489999999999</v>
      </c>
      <c r="AC24" s="194">
        <f t="shared" si="23"/>
        <v>1289.5249999999999</v>
      </c>
      <c r="AD24" s="194">
        <f t="shared" si="23"/>
        <v>1440.4559999999999</v>
      </c>
      <c r="AE24" s="194">
        <f t="shared" si="23"/>
        <v>1204.675</v>
      </c>
      <c r="AF24" s="194">
        <f t="shared" si="23"/>
        <v>1660.403</v>
      </c>
      <c r="AG24" s="194">
        <f t="shared" si="23"/>
        <v>2617.165</v>
      </c>
      <c r="AH24" s="411"/>
      <c r="AI24" s="167"/>
    </row>
    <row r="25" spans="1:35" s="174" customFormat="1" ht="183" customHeight="1" x14ac:dyDescent="0.25">
      <c r="A25" s="585"/>
      <c r="B25" s="587"/>
      <c r="C25" s="195" t="s">
        <v>21</v>
      </c>
      <c r="D25" s="196">
        <f>J25+L25+N25+P25+R25+T25+V25+X25+Z25+AB25+AD25+AF25</f>
        <v>18890.194999999996</v>
      </c>
      <c r="E25" s="196">
        <f>E26+E27</f>
        <v>18890.194999999996</v>
      </c>
      <c r="F25" s="196">
        <f>F26+F27</f>
        <v>17651.14</v>
      </c>
      <c r="G25" s="196">
        <f>K25+M25+O25+Q25+S25+U25+W25+Y25+AA25+AC25+AE25+AG25</f>
        <v>17651.14</v>
      </c>
      <c r="H25" s="196">
        <f t="shared" si="21"/>
        <v>93.440750611626839</v>
      </c>
      <c r="I25" s="196">
        <f t="shared" si="22"/>
        <v>93.440750611626839</v>
      </c>
      <c r="J25" s="197">
        <f>J26+J27</f>
        <v>1624.8619999999999</v>
      </c>
      <c r="K25" s="197">
        <f>K26+K27</f>
        <v>684.62</v>
      </c>
      <c r="L25" s="197">
        <f>L26+L27</f>
        <v>1365.4489999999998</v>
      </c>
      <c r="M25" s="197">
        <f>M26+M27</f>
        <v>1630.575</v>
      </c>
      <c r="N25" s="197">
        <f>N26+N27</f>
        <v>1499.289</v>
      </c>
      <c r="O25" s="197">
        <f t="shared" ref="O25:AG25" si="24">O26+O27</f>
        <v>1420.9749999999999</v>
      </c>
      <c r="P25" s="197">
        <f>P26+P27</f>
        <v>1712.4780000000001</v>
      </c>
      <c r="Q25" s="197">
        <f t="shared" si="24"/>
        <v>1534.615</v>
      </c>
      <c r="R25" s="197">
        <f t="shared" si="24"/>
        <v>1532.3329999999999</v>
      </c>
      <c r="S25" s="197">
        <f t="shared" si="24"/>
        <v>1322.0149999999999</v>
      </c>
      <c r="T25" s="197">
        <f t="shared" si="24"/>
        <v>1639.8340000000001</v>
      </c>
      <c r="U25" s="197">
        <f t="shared" si="24"/>
        <v>1316.7449999999999</v>
      </c>
      <c r="V25" s="197">
        <f t="shared" si="24"/>
        <v>1986.8129999999999</v>
      </c>
      <c r="W25" s="197">
        <f t="shared" si="24"/>
        <v>1782.0700000000002</v>
      </c>
      <c r="X25" s="197">
        <f>X26+X27</f>
        <v>1600.9949999999999</v>
      </c>
      <c r="Y25" s="197">
        <f t="shared" si="24"/>
        <v>1448.085</v>
      </c>
      <c r="Z25" s="197">
        <f>Z26+Z27</f>
        <v>1411.934</v>
      </c>
      <c r="AA25" s="197">
        <f t="shared" si="24"/>
        <v>1400.075</v>
      </c>
      <c r="AB25" s="197">
        <f>AB26+AB27</f>
        <v>1415.3489999999999</v>
      </c>
      <c r="AC25" s="197">
        <f t="shared" si="24"/>
        <v>1289.5249999999999</v>
      </c>
      <c r="AD25" s="197">
        <f>AD26+AD27</f>
        <v>1440.4559999999999</v>
      </c>
      <c r="AE25" s="197">
        <f t="shared" si="24"/>
        <v>1204.675</v>
      </c>
      <c r="AF25" s="197">
        <f>AF26+AF27</f>
        <v>1660.403</v>
      </c>
      <c r="AG25" s="197">
        <f t="shared" si="24"/>
        <v>2617.165</v>
      </c>
      <c r="AH25" s="199"/>
      <c r="AI25" s="173"/>
    </row>
    <row r="26" spans="1:35" s="174" customFormat="1" ht="95.45" customHeight="1" x14ac:dyDescent="0.25">
      <c r="A26" s="264"/>
      <c r="B26" s="259" t="s">
        <v>336</v>
      </c>
      <c r="C26" s="195" t="s">
        <v>21</v>
      </c>
      <c r="D26" s="196">
        <f>J26+L26+N26+P26+R26+T26+V26+X26+Z26+AB26+AD26+AF26</f>
        <v>1926.5999999999997</v>
      </c>
      <c r="E26" s="196">
        <f>J26+L26+N26+P26+R26+T26+V26+X26+Z26+AB26+AD26+AF26</f>
        <v>1926.5999999999997</v>
      </c>
      <c r="F26" s="196">
        <f>K26+M26+O26+Q26+S26+U26+W26+Y26+AA26+AC26+AE26+AG26</f>
        <v>1926.5999999999997</v>
      </c>
      <c r="G26" s="196">
        <f>K26+M26+O26+Q26+S26+U26+W26+Y26+AA26+AC26+AE26+AG26</f>
        <v>1926.5999999999997</v>
      </c>
      <c r="H26" s="196">
        <f t="shared" ref="H26:H27" si="25">IFERROR(G26/D26*100,0)</f>
        <v>100</v>
      </c>
      <c r="I26" s="196">
        <f t="shared" ref="I26:I27" si="26">IFERROR(G26/E26*100,0)</f>
        <v>100</v>
      </c>
      <c r="J26" s="197">
        <v>335.17500000000001</v>
      </c>
      <c r="K26" s="197">
        <v>335.17</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v>144.67500000000001</v>
      </c>
      <c r="AF26" s="197">
        <v>144.67500000000001</v>
      </c>
      <c r="AG26" s="197">
        <v>144.67500000000001</v>
      </c>
      <c r="AH26" s="258"/>
      <c r="AI26" s="173"/>
    </row>
    <row r="27" spans="1:35" s="174" customFormat="1" ht="135" customHeight="1" x14ac:dyDescent="0.25">
      <c r="A27" s="257"/>
      <c r="B27" s="263" t="s">
        <v>337</v>
      </c>
      <c r="C27" s="260" t="s">
        <v>21</v>
      </c>
      <c r="D27" s="262">
        <f>J27+L27+N27+P27+R27+T27+V27+X27+Z27+AB27+AD27+AF27</f>
        <v>16963.594999999998</v>
      </c>
      <c r="E27" s="262">
        <f>J27+L27+N27+P27+R27+T27+V27+X27+Z27+AB27+AD27+AF27</f>
        <v>16963.594999999998</v>
      </c>
      <c r="F27" s="261">
        <f>K27+M27+O27+Q27+S27+U27+W27+Y27+AA27+AC27+AE27+AG27</f>
        <v>15724.539999999999</v>
      </c>
      <c r="G27" s="261">
        <f>K27+M27+O27+Q27+S27+U27+W27+Y27+AA27+AC27+AE27+AG27</f>
        <v>15724.539999999999</v>
      </c>
      <c r="H27" s="261">
        <f t="shared" si="25"/>
        <v>92.695799445813236</v>
      </c>
      <c r="I27" s="261">
        <f t="shared" si="26"/>
        <v>92.695799445813236</v>
      </c>
      <c r="J27" s="261">
        <v>1289.6869999999999</v>
      </c>
      <c r="K27" s="262">
        <v>349.45</v>
      </c>
      <c r="L27" s="261">
        <v>1220.7739999999999</v>
      </c>
      <c r="M27" s="262">
        <v>1485.9</v>
      </c>
      <c r="N27" s="262">
        <v>1354.614</v>
      </c>
      <c r="O27" s="262">
        <v>1276.3</v>
      </c>
      <c r="P27" s="262">
        <v>1567.8030000000001</v>
      </c>
      <c r="Q27" s="262">
        <v>1389.94</v>
      </c>
      <c r="R27" s="262">
        <v>1387.6579999999999</v>
      </c>
      <c r="S27" s="262">
        <v>1177.3399999999999</v>
      </c>
      <c r="T27" s="262">
        <v>1495.1590000000001</v>
      </c>
      <c r="U27" s="262">
        <v>1172.07</v>
      </c>
      <c r="V27" s="262">
        <v>1842.1379999999999</v>
      </c>
      <c r="W27" s="262">
        <v>1637.39</v>
      </c>
      <c r="X27" s="262">
        <v>1456.32</v>
      </c>
      <c r="Y27" s="262">
        <v>1303.4100000000001</v>
      </c>
      <c r="Z27" s="262">
        <v>1267.259</v>
      </c>
      <c r="AA27" s="262">
        <v>1255.4000000000001</v>
      </c>
      <c r="AB27" s="262">
        <v>1270.674</v>
      </c>
      <c r="AC27" s="262">
        <v>1144.8499999999999</v>
      </c>
      <c r="AD27" s="262">
        <v>1295.7809999999999</v>
      </c>
      <c r="AE27" s="262">
        <v>1060</v>
      </c>
      <c r="AF27" s="262">
        <v>1515.7280000000001</v>
      </c>
      <c r="AG27" s="262">
        <v>2472.4899999999998</v>
      </c>
      <c r="AH27" s="199" t="s">
        <v>459</v>
      </c>
      <c r="AI27" s="173"/>
    </row>
    <row r="28" spans="1:35" s="22" customFormat="1" ht="27.75" customHeight="1" x14ac:dyDescent="0.25">
      <c r="A28" s="161"/>
      <c r="B28" s="539" t="s">
        <v>308</v>
      </c>
      <c r="C28" s="540"/>
      <c r="D28" s="540"/>
      <c r="E28" s="540"/>
      <c r="F28" s="540"/>
      <c r="G28" s="540"/>
      <c r="H28" s="540"/>
      <c r="I28" s="540"/>
      <c r="J28" s="540"/>
      <c r="K28" s="540"/>
      <c r="L28" s="540"/>
      <c r="M28" s="540"/>
      <c r="N28" s="540"/>
      <c r="O28" s="540"/>
      <c r="P28" s="540"/>
      <c r="Q28" s="540"/>
      <c r="R28" s="540"/>
      <c r="S28" s="540"/>
      <c r="T28" s="540"/>
      <c r="U28" s="540"/>
      <c r="V28" s="540"/>
      <c r="W28" s="540"/>
      <c r="X28" s="540"/>
      <c r="Y28" s="540"/>
      <c r="Z28" s="540"/>
      <c r="AA28" s="540"/>
      <c r="AB28" s="540"/>
      <c r="AC28" s="540"/>
      <c r="AD28" s="540"/>
      <c r="AE28" s="540"/>
      <c r="AF28" s="540"/>
      <c r="AG28" s="583"/>
      <c r="AH28" s="198"/>
      <c r="AI28" s="20"/>
    </row>
    <row r="29" spans="1:35" s="22" customFormat="1" ht="28.5" customHeight="1" x14ac:dyDescent="0.25">
      <c r="A29" s="335" t="s">
        <v>309</v>
      </c>
      <c r="B29" s="333" t="s">
        <v>310</v>
      </c>
      <c r="C29" s="182" t="s">
        <v>20</v>
      </c>
      <c r="D29" s="183">
        <f>D31+D30</f>
        <v>70307.411000000007</v>
      </c>
      <c r="E29" s="183">
        <f>E31+E30</f>
        <v>70307.411000000007</v>
      </c>
      <c r="F29" s="183">
        <f t="shared" ref="F29:G29" si="27">F31+F30</f>
        <v>65652.10100000001</v>
      </c>
      <c r="G29" s="183">
        <f t="shared" si="27"/>
        <v>65652.10100000001</v>
      </c>
      <c r="H29" s="183">
        <f t="shared" si="8"/>
        <v>93.378635432899102</v>
      </c>
      <c r="I29" s="183">
        <f t="shared" si="9"/>
        <v>93.378635432899102</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5794.9610000000002</v>
      </c>
      <c r="AA29" s="184">
        <f t="shared" si="28"/>
        <v>5794.4489999999996</v>
      </c>
      <c r="AB29" s="184">
        <f t="shared" si="28"/>
        <v>4114.5119999999997</v>
      </c>
      <c r="AC29" s="184">
        <f t="shared" si="28"/>
        <v>4124.5109999999995</v>
      </c>
      <c r="AD29" s="184">
        <f t="shared" si="28"/>
        <v>3772.0520000000001</v>
      </c>
      <c r="AE29" s="184">
        <f t="shared" si="28"/>
        <v>4666.3100000000004</v>
      </c>
      <c r="AF29" s="184">
        <f t="shared" si="28"/>
        <v>2646.7840000000001</v>
      </c>
      <c r="AG29" s="184">
        <f t="shared" si="28"/>
        <v>-1600.771</v>
      </c>
      <c r="AH29" s="200"/>
      <c r="AI29" s="20"/>
    </row>
    <row r="30" spans="1:35" s="26" customFormat="1" ht="34.15" customHeight="1" x14ac:dyDescent="0.25">
      <c r="A30" s="336"/>
      <c r="B30" s="334"/>
      <c r="C30" s="185" t="s">
        <v>21</v>
      </c>
      <c r="D30" s="186">
        <f>SUM(J30,L30,N30,P30,R30,T30,V30,X30,Z30,AB30,AD30,AF30)</f>
        <v>69879.411000000007</v>
      </c>
      <c r="E30" s="186">
        <f>J30+L30+N30+P30+R30+T30+V30+X30+Z30+AB30+AD30+AF30</f>
        <v>69879.411000000007</v>
      </c>
      <c r="F30" s="186">
        <f>G30</f>
        <v>65652.10100000001</v>
      </c>
      <c r="G30" s="186">
        <f>SUM(K30,M30,O30,Q30,S30,U30,W30,Y30,AA30,AC30,AE30,AG30)</f>
        <v>65652.10100000001</v>
      </c>
      <c r="H30" s="186">
        <f>IFERROR(G30/D30*100,0)</f>
        <v>93.950564351494037</v>
      </c>
      <c r="I30" s="186">
        <f>IFERROR(G30/E30*100,0)</f>
        <v>93.950564351494037</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U33+U35+U45+U48</f>
        <v>3741.5549999999998</v>
      </c>
      <c r="V30" s="192">
        <f t="shared" si="29"/>
        <v>7857.7959999999994</v>
      </c>
      <c r="W30" s="192">
        <f t="shared" si="29"/>
        <v>7857.799</v>
      </c>
      <c r="X30" s="192">
        <f t="shared" si="29"/>
        <v>4414.9420000000009</v>
      </c>
      <c r="Y30" s="192">
        <f t="shared" si="29"/>
        <v>4425.4420000000009</v>
      </c>
      <c r="Z30" s="192">
        <f t="shared" si="29"/>
        <v>5794.9610000000002</v>
      </c>
      <c r="AA30" s="192">
        <f t="shared" si="29"/>
        <v>5794.4489999999996</v>
      </c>
      <c r="AB30" s="192">
        <f t="shared" si="29"/>
        <v>4114.5119999999997</v>
      </c>
      <c r="AC30" s="192">
        <f t="shared" si="29"/>
        <v>4124.5109999999995</v>
      </c>
      <c r="AD30" s="192">
        <f t="shared" si="29"/>
        <v>3772.0520000000001</v>
      </c>
      <c r="AE30" s="192">
        <f t="shared" si="29"/>
        <v>4666.3100000000004</v>
      </c>
      <c r="AF30" s="192">
        <f t="shared" si="29"/>
        <v>2646.7840000000001</v>
      </c>
      <c r="AG30" s="192">
        <f t="shared" si="29"/>
        <v>-1600.771</v>
      </c>
      <c r="AH30" s="200"/>
      <c r="AI30" s="24"/>
    </row>
    <row r="31" spans="1:35" s="26" customFormat="1" ht="37.5" customHeight="1" x14ac:dyDescent="0.25">
      <c r="A31" s="337"/>
      <c r="B31" s="334"/>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0"/>
      <c r="AI31" s="24"/>
    </row>
    <row r="32" spans="1:35" s="174" customFormat="1" ht="75.599999999999994" customHeight="1" x14ac:dyDescent="0.25">
      <c r="A32" s="338"/>
      <c r="B32" s="340" t="s">
        <v>311</v>
      </c>
      <c r="C32" s="224" t="s">
        <v>20</v>
      </c>
      <c r="D32" s="165">
        <f>D33</f>
        <v>2945.9</v>
      </c>
      <c r="E32" s="165">
        <f>E33</f>
        <v>2945.9</v>
      </c>
      <c r="F32" s="165">
        <f t="shared" ref="F32:G32" si="31">F33</f>
        <v>2539.259</v>
      </c>
      <c r="G32" s="165">
        <f t="shared" si="31"/>
        <v>2539.259</v>
      </c>
      <c r="H32" s="165">
        <f t="shared" ref="H32" si="32">IFERROR(G32/D32*100,0)</f>
        <v>86.196374622356501</v>
      </c>
      <c r="I32" s="166">
        <f t="shared" ref="I32" si="33">IFERROR(G32/E32*100,0)</f>
        <v>86.196374622356501</v>
      </c>
      <c r="J32" s="175">
        <f>J33</f>
        <v>0</v>
      </c>
      <c r="K32" s="175">
        <f t="shared" ref="K32:AG32" si="34">K33</f>
        <v>0</v>
      </c>
      <c r="L32" s="175">
        <f t="shared" si="34"/>
        <v>401.77</v>
      </c>
      <c r="M32" s="175">
        <f>M33</f>
        <v>401.77</v>
      </c>
      <c r="N32" s="175">
        <f t="shared" si="34"/>
        <v>1375.03</v>
      </c>
      <c r="O32" s="175">
        <f t="shared" si="34"/>
        <v>1375.03</v>
      </c>
      <c r="P32" s="255">
        <f t="shared" si="34"/>
        <v>1100</v>
      </c>
      <c r="Q32" s="255">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63">
        <f t="shared" si="34"/>
        <v>-406.64</v>
      </c>
      <c r="AH32" s="172" t="s">
        <v>424</v>
      </c>
      <c r="AI32" s="173"/>
    </row>
    <row r="33" spans="1:35" s="174" customFormat="1" ht="96.6" customHeight="1" x14ac:dyDescent="0.25">
      <c r="A33" s="339"/>
      <c r="B33" s="341"/>
      <c r="C33" s="225" t="s">
        <v>21</v>
      </c>
      <c r="D33" s="170">
        <f>SUM(J33,L33,N33,P33,R33,T33,V33,X33,Z33,AB33,AD33,AF33)</f>
        <v>2945.9</v>
      </c>
      <c r="E33" s="170">
        <f>J33+L33+N33+P33+R33+T33+V33+X33+Z33+AB33+AD33+AF33</f>
        <v>2945.9</v>
      </c>
      <c r="F33" s="170">
        <f>G33</f>
        <v>2539.259</v>
      </c>
      <c r="G33" s="170">
        <f>SUM(K33,M33,O33,Q33,S33,U33,W33,Y33,AA33,AC33,AE33,AG33)</f>
        <v>2539.259</v>
      </c>
      <c r="H33" s="170">
        <f>IFERROR(G33/D33*100,0)</f>
        <v>86.196374622356501</v>
      </c>
      <c r="I33" s="171">
        <f>IFERROR(G33/E33*100,0)</f>
        <v>86.196374622356501</v>
      </c>
      <c r="J33" s="176">
        <v>0</v>
      </c>
      <c r="K33" s="176">
        <v>0</v>
      </c>
      <c r="L33" s="176">
        <v>401.77</v>
      </c>
      <c r="M33" s="176">
        <v>401.77</v>
      </c>
      <c r="N33" s="176">
        <v>1375.03</v>
      </c>
      <c r="O33" s="176">
        <v>1375.03</v>
      </c>
      <c r="P33" s="256">
        <v>1100</v>
      </c>
      <c r="Q33" s="256">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63">
        <v>-406.64</v>
      </c>
      <c r="AH33" s="172" t="s">
        <v>425</v>
      </c>
      <c r="AI33" s="173"/>
    </row>
    <row r="34" spans="1:35" s="174" customFormat="1" ht="187.9" customHeight="1" x14ac:dyDescent="0.25">
      <c r="A34" s="329"/>
      <c r="B34" s="331" t="s">
        <v>312</v>
      </c>
      <c r="C34" s="164" t="s">
        <v>20</v>
      </c>
      <c r="D34" s="165">
        <f>D35</f>
        <v>7926.2000000000007</v>
      </c>
      <c r="E34" s="165">
        <f>E35</f>
        <v>7926.2000000000007</v>
      </c>
      <c r="F34" s="165">
        <f t="shared" ref="F34:G34" si="35">F35</f>
        <v>7828.3980000000001</v>
      </c>
      <c r="G34" s="165">
        <f t="shared" si="35"/>
        <v>7828.3980000000001</v>
      </c>
      <c r="H34" s="166">
        <f t="shared" ref="H34" si="36">IFERROR(G34/D34*100,0)</f>
        <v>98.766092200550077</v>
      </c>
      <c r="I34" s="166">
        <f t="shared" ref="I34" si="37">IFERROR(G34/E34*100,0)</f>
        <v>98.766092200550077</v>
      </c>
      <c r="J34" s="175">
        <f>J35</f>
        <v>2992.1</v>
      </c>
      <c r="K34" s="175">
        <f t="shared" ref="K34:AG34" si="38">K35</f>
        <v>2992.1</v>
      </c>
      <c r="L34" s="175">
        <f t="shared" si="38"/>
        <v>1772.8580000000002</v>
      </c>
      <c r="M34" s="175">
        <f t="shared" si="38"/>
        <v>1772.8580000000002</v>
      </c>
      <c r="N34" s="175">
        <f t="shared" si="38"/>
        <v>1769.3</v>
      </c>
      <c r="O34" s="175">
        <f t="shared" si="38"/>
        <v>1769.3</v>
      </c>
      <c r="P34" s="255">
        <f t="shared" si="38"/>
        <v>59.4</v>
      </c>
      <c r="Q34" s="255">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969.85</v>
      </c>
      <c r="AF34" s="175">
        <f t="shared" si="38"/>
        <v>0</v>
      </c>
      <c r="AG34" s="63">
        <f t="shared" si="38"/>
        <v>-97.8</v>
      </c>
      <c r="AH34" s="172" t="s">
        <v>373</v>
      </c>
      <c r="AI34" s="173"/>
    </row>
    <row r="35" spans="1:35" s="174" customFormat="1" ht="64.150000000000006" customHeight="1" x14ac:dyDescent="0.25">
      <c r="A35" s="330"/>
      <c r="B35" s="332"/>
      <c r="C35" s="169" t="s">
        <v>21</v>
      </c>
      <c r="D35" s="170">
        <f>SUM(J35,L35,N35,P35,R35,T35,V35,X35,Z35,AB35,AD35,AF35)</f>
        <v>7926.2000000000007</v>
      </c>
      <c r="E35" s="171">
        <f>J35+L35+N35+P35+R35+T35+V35+X35+Z35+AB35+AD35+AF35</f>
        <v>7926.2000000000007</v>
      </c>
      <c r="F35" s="171">
        <f>G35</f>
        <v>7828.3980000000001</v>
      </c>
      <c r="G35" s="171">
        <f>SUM(K35,M35,O35,Q35,S35,U35,W35,Y35,AA35,AC35,AE35,AG35)</f>
        <v>7828.3980000000001</v>
      </c>
      <c r="H35" s="171">
        <f>IFERROR(G35/D35*100,0)</f>
        <v>98.766092200550077</v>
      </c>
      <c r="I35" s="171">
        <f>IFERROR(G35/E35*100,0)</f>
        <v>98.766092200550077</v>
      </c>
      <c r="J35" s="176">
        <f>J37+J39+J41+J43</f>
        <v>2992.1</v>
      </c>
      <c r="K35" s="176">
        <v>2992.1</v>
      </c>
      <c r="L35" s="176">
        <f t="shared" ref="L35:AG35" si="39">L37+L39+L41+L43</f>
        <v>1772.8580000000002</v>
      </c>
      <c r="M35" s="176">
        <f t="shared" si="39"/>
        <v>1772.8580000000002</v>
      </c>
      <c r="N35" s="176">
        <f t="shared" si="39"/>
        <v>1769.3</v>
      </c>
      <c r="O35" s="176">
        <f t="shared" si="39"/>
        <v>1769.3</v>
      </c>
      <c r="P35" s="256">
        <f t="shared" si="39"/>
        <v>59.4</v>
      </c>
      <c r="Q35" s="256">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969.85</v>
      </c>
      <c r="AF35" s="176">
        <f t="shared" si="39"/>
        <v>0</v>
      </c>
      <c r="AG35" s="176">
        <f t="shared" si="39"/>
        <v>-97.8</v>
      </c>
      <c r="AH35" s="172" t="s">
        <v>404</v>
      </c>
      <c r="AI35" s="173"/>
    </row>
    <row r="36" spans="1:35" s="174" customFormat="1" ht="168" customHeight="1" x14ac:dyDescent="0.25">
      <c r="A36" s="320"/>
      <c r="B36" s="322" t="s">
        <v>313</v>
      </c>
      <c r="C36" s="126" t="s">
        <v>20</v>
      </c>
      <c r="D36" s="74">
        <f>D37</f>
        <v>4265.7</v>
      </c>
      <c r="E36" s="74">
        <f t="shared" ref="E36:G36" si="40">E37</f>
        <v>4265.7</v>
      </c>
      <c r="F36" s="74">
        <f>F37</f>
        <v>4167.8980000000001</v>
      </c>
      <c r="G36" s="170">
        <f t="shared" si="40"/>
        <v>4167.8980000000001</v>
      </c>
      <c r="H36" s="171">
        <f t="shared" ref="H36" si="41">IFERROR(G36/D36*100,0)</f>
        <v>97.707246172961078</v>
      </c>
      <c r="I36" s="171">
        <f t="shared" ref="I36" si="42">IFERROR(G36/E36*100,0)</f>
        <v>97.707246172961078</v>
      </c>
      <c r="J36" s="176">
        <f>J37</f>
        <v>0</v>
      </c>
      <c r="K36" s="176">
        <f t="shared" ref="K36:AF36" si="43">K37</f>
        <v>0</v>
      </c>
      <c r="L36" s="176">
        <f t="shared" si="43"/>
        <v>1769.4580000000001</v>
      </c>
      <c r="M36" s="176">
        <f t="shared" si="43"/>
        <v>1769.4580000000001</v>
      </c>
      <c r="N36" s="176">
        <f t="shared" si="43"/>
        <v>1769.3</v>
      </c>
      <c r="O36" s="176">
        <f t="shared" si="43"/>
        <v>1769.3</v>
      </c>
      <c r="P36" s="256">
        <f t="shared" si="43"/>
        <v>59.4</v>
      </c>
      <c r="Q36" s="256">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v>354.4</v>
      </c>
      <c r="AF36" s="176">
        <f t="shared" si="43"/>
        <v>0</v>
      </c>
      <c r="AG36" s="63">
        <f>AG37</f>
        <v>-97.8</v>
      </c>
      <c r="AH36" s="172" t="s">
        <v>375</v>
      </c>
      <c r="AI36" s="173"/>
    </row>
    <row r="37" spans="1:35" s="174" customFormat="1" ht="65.25" customHeight="1" x14ac:dyDescent="0.25">
      <c r="A37" s="321"/>
      <c r="B37" s="323"/>
      <c r="C37" s="124" t="s">
        <v>21</v>
      </c>
      <c r="D37" s="74">
        <f>SUM(J37,L37,N37,P37,R37,T37,V37,X37,Z37,AB37,AD37,AF37)</f>
        <v>4265.7</v>
      </c>
      <c r="E37" s="74">
        <f>J37+L37+N37+P37+R37+T37+V37+X37+Z37+AB37+AD37+AF37</f>
        <v>4265.7</v>
      </c>
      <c r="F37" s="74">
        <f>G37</f>
        <v>4167.8980000000001</v>
      </c>
      <c r="G37" s="170">
        <f>K37+M37+O37+Q37+S37+U37+W37+Y37+AA37+AC37+AE37+AG37</f>
        <v>4167.8980000000001</v>
      </c>
      <c r="H37" s="170">
        <f>IFERROR(G37/D37*100,0)</f>
        <v>97.707246172961078</v>
      </c>
      <c r="I37" s="170">
        <f>IFERROR(G37/E37*100,0)</f>
        <v>97.707246172961078</v>
      </c>
      <c r="J37" s="256">
        <v>0</v>
      </c>
      <c r="K37" s="256">
        <v>0</v>
      </c>
      <c r="L37" s="256">
        <v>1769.4580000000001</v>
      </c>
      <c r="M37" s="256">
        <v>1769.4580000000001</v>
      </c>
      <c r="N37" s="256">
        <v>1769.3</v>
      </c>
      <c r="O37" s="256">
        <v>1769.3</v>
      </c>
      <c r="P37" s="256">
        <v>59.4</v>
      </c>
      <c r="Q37" s="256">
        <v>59.4</v>
      </c>
      <c r="R37" s="256">
        <v>13.8</v>
      </c>
      <c r="S37" s="256">
        <v>13.8</v>
      </c>
      <c r="T37" s="256">
        <v>0</v>
      </c>
      <c r="U37" s="256">
        <v>0</v>
      </c>
      <c r="V37" s="256">
        <v>0</v>
      </c>
      <c r="W37" s="256">
        <v>0</v>
      </c>
      <c r="X37" s="256">
        <v>97.8</v>
      </c>
      <c r="Y37" s="256">
        <v>97.8</v>
      </c>
      <c r="Z37" s="176">
        <v>96.941999999999993</v>
      </c>
      <c r="AA37" s="176">
        <v>96.94</v>
      </c>
      <c r="AB37" s="176">
        <v>104.6</v>
      </c>
      <c r="AC37" s="176">
        <v>104.6</v>
      </c>
      <c r="AD37" s="176">
        <v>354.4</v>
      </c>
      <c r="AE37" s="176">
        <v>354.4</v>
      </c>
      <c r="AF37" s="176">
        <v>0</v>
      </c>
      <c r="AG37" s="62">
        <v>-97.8</v>
      </c>
      <c r="AH37" s="43"/>
      <c r="AI37" s="173"/>
    </row>
    <row r="38" spans="1:35" s="174" customFormat="1" ht="51" customHeight="1" x14ac:dyDescent="0.25">
      <c r="A38" s="177"/>
      <c r="B38" s="324" t="s">
        <v>314</v>
      </c>
      <c r="C38" s="169" t="s">
        <v>20</v>
      </c>
      <c r="D38" s="170">
        <f t="shared" ref="D38" si="44">D39</f>
        <v>600</v>
      </c>
      <c r="E38" s="171">
        <f>F38</f>
        <v>600</v>
      </c>
      <c r="F38" s="171">
        <f t="shared" ref="F38:F41" si="45">G38</f>
        <v>600</v>
      </c>
      <c r="G38" s="171">
        <f>G39</f>
        <v>600</v>
      </c>
      <c r="H38" s="171">
        <f t="shared" ref="H38:H42" si="46">IFERROR(G38/D38*100,0)</f>
        <v>100</v>
      </c>
      <c r="I38" s="171">
        <f t="shared" ref="I38:I42" si="47">IFERROR(G38/E38*100,0)</f>
        <v>100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v>600</v>
      </c>
      <c r="AF38" s="171">
        <f t="shared" si="48"/>
        <v>0</v>
      </c>
      <c r="AG38" s="171">
        <f t="shared" si="48"/>
        <v>0</v>
      </c>
      <c r="AH38" s="172"/>
      <c r="AI38" s="173"/>
    </row>
    <row r="39" spans="1:35" s="174" customFormat="1" ht="39.6" customHeight="1" x14ac:dyDescent="0.25">
      <c r="A39" s="177"/>
      <c r="B39" s="324"/>
      <c r="C39" s="169" t="s">
        <v>21</v>
      </c>
      <c r="D39" s="170">
        <f t="shared" ref="D39" si="49">SUM(J39,L39,N39,P39,R39,T39,V39,X39,Z39,AB39,AD39,AF39)</f>
        <v>600</v>
      </c>
      <c r="E39" s="171">
        <f>R39</f>
        <v>600</v>
      </c>
      <c r="F39" s="171">
        <f>AE39</f>
        <v>600</v>
      </c>
      <c r="G39" s="171">
        <f t="shared" ref="G39" si="50">SUM(K39,M39,O39,Q39,S39,U39,W39,Y39,AA39,AC39,AE39,AG39)</f>
        <v>600</v>
      </c>
      <c r="H39" s="171">
        <f t="shared" si="46"/>
        <v>100</v>
      </c>
      <c r="I39" s="171">
        <f t="shared" si="47"/>
        <v>100</v>
      </c>
      <c r="J39" s="176">
        <v>0</v>
      </c>
      <c r="K39" s="176">
        <v>0</v>
      </c>
      <c r="L39" s="176">
        <v>0</v>
      </c>
      <c r="M39" s="176">
        <v>0</v>
      </c>
      <c r="N39" s="176">
        <v>0</v>
      </c>
      <c r="O39" s="176">
        <v>0</v>
      </c>
      <c r="P39" s="256">
        <v>0</v>
      </c>
      <c r="Q39" s="256">
        <v>0</v>
      </c>
      <c r="R39" s="176">
        <v>600</v>
      </c>
      <c r="S39" s="176">
        <v>0</v>
      </c>
      <c r="T39" s="176">
        <v>0</v>
      </c>
      <c r="U39" s="176">
        <v>0</v>
      </c>
      <c r="V39" s="176">
        <v>0</v>
      </c>
      <c r="W39" s="176">
        <v>0</v>
      </c>
      <c r="X39" s="176">
        <v>0</v>
      </c>
      <c r="Y39" s="176">
        <v>0</v>
      </c>
      <c r="Z39" s="176">
        <v>0</v>
      </c>
      <c r="AA39" s="176">
        <v>0</v>
      </c>
      <c r="AB39" s="176">
        <v>0</v>
      </c>
      <c r="AC39" s="176">
        <v>0</v>
      </c>
      <c r="AD39" s="176">
        <v>0</v>
      </c>
      <c r="AE39" s="171">
        <v>600</v>
      </c>
      <c r="AF39" s="176">
        <v>0</v>
      </c>
      <c r="AG39" s="176">
        <v>0</v>
      </c>
      <c r="AH39" s="172" t="s">
        <v>456</v>
      </c>
      <c r="AI39" s="173"/>
    </row>
    <row r="40" spans="1:35" s="174" customFormat="1" ht="75" customHeight="1" x14ac:dyDescent="0.25">
      <c r="A40" s="177"/>
      <c r="B40" s="324" t="s">
        <v>315</v>
      </c>
      <c r="C40" s="169" t="s">
        <v>20</v>
      </c>
      <c r="D40" s="170">
        <f t="shared" ref="D40:E40" si="51">D41</f>
        <v>68.399999999999991</v>
      </c>
      <c r="E40" s="171">
        <f t="shared" si="51"/>
        <v>68.399999999999991</v>
      </c>
      <c r="F40" s="171">
        <f t="shared" si="45"/>
        <v>68.399999999999991</v>
      </c>
      <c r="G40" s="171">
        <f>G41</f>
        <v>68.399999999999991</v>
      </c>
      <c r="H40" s="171">
        <f t="shared" si="46"/>
        <v>100</v>
      </c>
      <c r="I40" s="171">
        <f t="shared" si="47"/>
        <v>100</v>
      </c>
      <c r="J40" s="171">
        <f t="shared" ref="J40:AF40" si="52">J41</f>
        <v>0</v>
      </c>
      <c r="K40" s="171">
        <f t="shared" si="52"/>
        <v>0</v>
      </c>
      <c r="L40" s="171">
        <f t="shared" si="52"/>
        <v>3.4</v>
      </c>
      <c r="M40" s="171">
        <f t="shared" si="52"/>
        <v>3.4</v>
      </c>
      <c r="N40" s="171">
        <f t="shared" si="52"/>
        <v>0</v>
      </c>
      <c r="O40" s="171">
        <f t="shared" si="52"/>
        <v>0</v>
      </c>
      <c r="P40" s="170">
        <f t="shared" si="52"/>
        <v>0</v>
      </c>
      <c r="Q40" s="170">
        <f t="shared" si="52"/>
        <v>0</v>
      </c>
      <c r="R40" s="171">
        <f t="shared" si="52"/>
        <v>0</v>
      </c>
      <c r="S40" s="171">
        <f t="shared" si="52"/>
        <v>0</v>
      </c>
      <c r="T40" s="171">
        <f t="shared" si="52"/>
        <v>0</v>
      </c>
      <c r="U40" s="171">
        <f t="shared" si="52"/>
        <v>0</v>
      </c>
      <c r="V40" s="171">
        <f t="shared" si="52"/>
        <v>0</v>
      </c>
      <c r="W40" s="171">
        <f t="shared" si="52"/>
        <v>0</v>
      </c>
      <c r="X40" s="171">
        <f t="shared" si="52"/>
        <v>0</v>
      </c>
      <c r="Y40" s="171">
        <f t="shared" si="52"/>
        <v>0</v>
      </c>
      <c r="Z40" s="171">
        <f t="shared" si="52"/>
        <v>0</v>
      </c>
      <c r="AA40" s="171">
        <f t="shared" si="52"/>
        <v>0</v>
      </c>
      <c r="AB40" s="171">
        <f t="shared" si="52"/>
        <v>49.55</v>
      </c>
      <c r="AC40" s="171">
        <f t="shared" si="52"/>
        <v>49.55</v>
      </c>
      <c r="AD40" s="171">
        <f t="shared" si="52"/>
        <v>15.45</v>
      </c>
      <c r="AE40" s="171">
        <v>15.45</v>
      </c>
      <c r="AF40" s="171">
        <f t="shared" si="52"/>
        <v>0</v>
      </c>
      <c r="AG40" s="176">
        <v>0</v>
      </c>
      <c r="AH40" s="172" t="s">
        <v>372</v>
      </c>
      <c r="AI40" s="173"/>
    </row>
    <row r="41" spans="1:35" s="174" customFormat="1" ht="37.9" customHeight="1" x14ac:dyDescent="0.25">
      <c r="A41" s="177"/>
      <c r="B41" s="324"/>
      <c r="C41" s="169" t="s">
        <v>21</v>
      </c>
      <c r="D41" s="170">
        <f t="shared" ref="D41" si="53">SUM(J41,L41,N41,P41,R41,T41,V41,X41,Z41,AB41,AD41,AF41)</f>
        <v>68.399999999999991</v>
      </c>
      <c r="E41" s="171">
        <f>J41+L41+N41+P41+R41+T41+V41+X41+Z41+AB41+AD41+AF41</f>
        <v>68.399999999999991</v>
      </c>
      <c r="F41" s="171">
        <f t="shared" si="45"/>
        <v>68.399999999999991</v>
      </c>
      <c r="G41" s="171">
        <f t="shared" ref="G41" si="54">SUM(K41,M41,O41,Q41,S41,U41,W41,Y41,AA41,AC41,AE41,AG41)</f>
        <v>68.399999999999991</v>
      </c>
      <c r="H41" s="171">
        <f t="shared" si="46"/>
        <v>100</v>
      </c>
      <c r="I41" s="171">
        <f t="shared" si="47"/>
        <v>100</v>
      </c>
      <c r="J41" s="176">
        <v>0</v>
      </c>
      <c r="K41" s="176">
        <v>0</v>
      </c>
      <c r="L41" s="176">
        <v>3.4</v>
      </c>
      <c r="M41" s="176">
        <v>3.4</v>
      </c>
      <c r="N41" s="176">
        <v>0</v>
      </c>
      <c r="O41" s="176">
        <v>0</v>
      </c>
      <c r="P41" s="256">
        <v>0</v>
      </c>
      <c r="Q41" s="256">
        <v>0</v>
      </c>
      <c r="R41" s="176">
        <v>0</v>
      </c>
      <c r="S41" s="176">
        <v>0</v>
      </c>
      <c r="T41" s="176">
        <v>0</v>
      </c>
      <c r="U41" s="176">
        <v>0</v>
      </c>
      <c r="V41" s="176">
        <v>0</v>
      </c>
      <c r="W41" s="176">
        <v>0</v>
      </c>
      <c r="X41" s="176">
        <v>0</v>
      </c>
      <c r="Y41" s="176">
        <v>0</v>
      </c>
      <c r="Z41" s="176">
        <v>0</v>
      </c>
      <c r="AA41" s="176">
        <v>0</v>
      </c>
      <c r="AB41" s="176">
        <v>49.55</v>
      </c>
      <c r="AC41" s="176">
        <v>49.55</v>
      </c>
      <c r="AD41" s="176">
        <v>15.45</v>
      </c>
      <c r="AE41" s="176">
        <v>15.45</v>
      </c>
      <c r="AF41" s="176">
        <v>0</v>
      </c>
      <c r="AG41" s="176">
        <v>0</v>
      </c>
      <c r="AH41" s="172"/>
      <c r="AI41" s="173"/>
    </row>
    <row r="42" spans="1:35" s="174" customFormat="1" ht="75.599999999999994" customHeight="1" x14ac:dyDescent="0.25">
      <c r="A42" s="325"/>
      <c r="B42" s="327" t="s">
        <v>316</v>
      </c>
      <c r="C42" s="169" t="s">
        <v>20</v>
      </c>
      <c r="D42" s="170">
        <f>D43</f>
        <v>2992.1</v>
      </c>
      <c r="E42" s="170">
        <f t="shared" ref="E42:G42" si="55">E43</f>
        <v>2992.1</v>
      </c>
      <c r="F42" s="170">
        <f t="shared" si="55"/>
        <v>2992.0990000000002</v>
      </c>
      <c r="G42" s="170">
        <f t="shared" si="55"/>
        <v>2992.0990000000002</v>
      </c>
      <c r="H42" s="171">
        <f t="shared" si="46"/>
        <v>99.999966578657137</v>
      </c>
      <c r="I42" s="171">
        <f t="shared" si="47"/>
        <v>99.999966578657137</v>
      </c>
      <c r="J42" s="176">
        <f t="shared" ref="J42:AF42" si="56">J43</f>
        <v>2992.1</v>
      </c>
      <c r="K42" s="176">
        <f>K43</f>
        <v>2259.2919999999999</v>
      </c>
      <c r="L42" s="176">
        <f t="shared" si="56"/>
        <v>0</v>
      </c>
      <c r="M42" s="176">
        <f t="shared" si="56"/>
        <v>0</v>
      </c>
      <c r="N42" s="176">
        <f t="shared" si="56"/>
        <v>0</v>
      </c>
      <c r="O42" s="176">
        <f t="shared" si="56"/>
        <v>0</v>
      </c>
      <c r="P42" s="256">
        <f t="shared" si="56"/>
        <v>0</v>
      </c>
      <c r="Q42" s="256">
        <f t="shared" si="56"/>
        <v>732.80700000000002</v>
      </c>
      <c r="R42" s="176">
        <f t="shared" si="56"/>
        <v>0</v>
      </c>
      <c r="S42" s="176">
        <f t="shared" si="56"/>
        <v>0</v>
      </c>
      <c r="T42" s="176">
        <f t="shared" si="56"/>
        <v>0</v>
      </c>
      <c r="U42" s="176">
        <f t="shared" si="56"/>
        <v>0</v>
      </c>
      <c r="V42" s="176">
        <f t="shared" si="56"/>
        <v>0</v>
      </c>
      <c r="W42" s="176">
        <f t="shared" si="56"/>
        <v>0</v>
      </c>
      <c r="X42" s="176">
        <f t="shared" si="56"/>
        <v>0</v>
      </c>
      <c r="Y42" s="176">
        <f t="shared" si="56"/>
        <v>0</v>
      </c>
      <c r="Z42" s="176">
        <f t="shared" si="56"/>
        <v>0</v>
      </c>
      <c r="AA42" s="176">
        <f t="shared" si="56"/>
        <v>0</v>
      </c>
      <c r="AB42" s="176">
        <f t="shared" si="56"/>
        <v>0</v>
      </c>
      <c r="AC42" s="176">
        <f t="shared" si="56"/>
        <v>0</v>
      </c>
      <c r="AD42" s="176">
        <f t="shared" si="56"/>
        <v>0</v>
      </c>
      <c r="AE42" s="176">
        <f t="shared" si="56"/>
        <v>0</v>
      </c>
      <c r="AF42" s="176">
        <f t="shared" si="56"/>
        <v>0</v>
      </c>
      <c r="AG42" s="176">
        <f>AG43</f>
        <v>0</v>
      </c>
      <c r="AH42" s="172" t="s">
        <v>423</v>
      </c>
      <c r="AI42" s="173"/>
    </row>
    <row r="43" spans="1:35" s="174" customFormat="1" ht="100.15" customHeight="1" x14ac:dyDescent="0.25">
      <c r="A43" s="326"/>
      <c r="B43" s="328"/>
      <c r="C43" s="169" t="s">
        <v>21</v>
      </c>
      <c r="D43" s="170">
        <f>SUM(J43,L43,N43,P43,R43,T43,V43,X43,Z43,AB43,AD43,AF43)</f>
        <v>2992.1</v>
      </c>
      <c r="E43" s="171">
        <f>J43+L43+N43+P43+R43+T43+V43+X43+Z43</f>
        <v>2992.1</v>
      </c>
      <c r="F43" s="171">
        <f>G43</f>
        <v>2992.0990000000002</v>
      </c>
      <c r="G43" s="171">
        <f>SUM(K43,M43,O43,Q43,S43,U43,W43,Y43,AA43,AC43,AE43,AG43)</f>
        <v>2992.0990000000002</v>
      </c>
      <c r="H43" s="171">
        <f>IFERROR(G43/D43*100,0)</f>
        <v>99.999966578657137</v>
      </c>
      <c r="I43" s="171">
        <f>IFERROR(G43/E43*100,0)</f>
        <v>99.999966578657137</v>
      </c>
      <c r="J43" s="176">
        <v>2992.1</v>
      </c>
      <c r="K43" s="176">
        <v>2259.2919999999999</v>
      </c>
      <c r="L43" s="176">
        <v>0</v>
      </c>
      <c r="M43" s="176">
        <v>0</v>
      </c>
      <c r="N43" s="176">
        <v>0</v>
      </c>
      <c r="O43" s="176">
        <v>0</v>
      </c>
      <c r="P43" s="256">
        <v>0</v>
      </c>
      <c r="Q43" s="256">
        <v>732.80700000000002</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23"/>
      <c r="B44" s="588" t="s">
        <v>317</v>
      </c>
      <c r="C44" s="123" t="s">
        <v>20</v>
      </c>
      <c r="D44" s="70">
        <f>D46+D45</f>
        <v>58840.312000000005</v>
      </c>
      <c r="E44" s="70">
        <f>E46+E45</f>
        <v>58840.312000000005</v>
      </c>
      <c r="F44" s="70">
        <f>F46+F45</f>
        <v>54689.445999999996</v>
      </c>
      <c r="G44" s="70">
        <f t="shared" ref="G44" si="57">G46+G45</f>
        <v>54689.445999999996</v>
      </c>
      <c r="H44" s="70">
        <f t="shared" ref="H44" si="58">IFERROR(G44/D44*100,0)</f>
        <v>92.94554046552301</v>
      </c>
      <c r="I44" s="70">
        <f t="shared" ref="I44" si="59">IFERROR(G44/E44*100,0)</f>
        <v>92.94554046552301</v>
      </c>
      <c r="J44" s="59">
        <f>J46+J45</f>
        <v>4664.6209999999992</v>
      </c>
      <c r="K44" s="59">
        <f t="shared" ref="K44:AF44" si="60">K46+K45</f>
        <v>4648.7209999999995</v>
      </c>
      <c r="L44" s="59">
        <f t="shared" si="60"/>
        <v>6305.8360000000002</v>
      </c>
      <c r="M44" s="59">
        <f t="shared" si="60"/>
        <v>5893.7359999999999</v>
      </c>
      <c r="N44" s="59">
        <f t="shared" si="60"/>
        <v>5852.7730000000001</v>
      </c>
      <c r="O44" s="59">
        <f t="shared" si="60"/>
        <v>5852.7730000000001</v>
      </c>
      <c r="P44" s="59">
        <f t="shared" si="60"/>
        <v>6281.32</v>
      </c>
      <c r="Q44" s="59">
        <f t="shared" si="60"/>
        <v>6281.3190000000004</v>
      </c>
      <c r="R44" s="59">
        <f t="shared" si="60"/>
        <v>4428.3670000000002</v>
      </c>
      <c r="S44" s="59">
        <f t="shared" si="60"/>
        <v>4428.3670000000002</v>
      </c>
      <c r="T44" s="59">
        <f t="shared" si="60"/>
        <v>3618.4229999999998</v>
      </c>
      <c r="U44" s="59">
        <f t="shared" si="60"/>
        <v>3618.4229999999998</v>
      </c>
      <c r="V44" s="59">
        <f t="shared" si="60"/>
        <v>7779.48</v>
      </c>
      <c r="W44" s="59">
        <f t="shared" si="60"/>
        <v>7779.4830000000002</v>
      </c>
      <c r="X44" s="59">
        <f t="shared" si="60"/>
        <v>4238.7340000000004</v>
      </c>
      <c r="Y44" s="59">
        <f t="shared" si="60"/>
        <v>4249.2340000000004</v>
      </c>
      <c r="Z44" s="59">
        <f t="shared" si="60"/>
        <v>5661.41</v>
      </c>
      <c r="AA44" s="59">
        <f t="shared" si="60"/>
        <v>5660.9</v>
      </c>
      <c r="AB44" s="59">
        <f t="shared" si="60"/>
        <v>3960.3620000000001</v>
      </c>
      <c r="AC44" s="59">
        <f t="shared" si="60"/>
        <v>3970.3609999999999</v>
      </c>
      <c r="AD44" s="59">
        <f t="shared" si="60"/>
        <v>3402.2020000000002</v>
      </c>
      <c r="AE44" s="59">
        <f t="shared" si="60"/>
        <v>3402.46</v>
      </c>
      <c r="AF44" s="59">
        <f t="shared" si="60"/>
        <v>2646.7840000000001</v>
      </c>
      <c r="AG44" s="63">
        <f>AG46+AG45</f>
        <v>-1096.3309999999999</v>
      </c>
      <c r="AH44" s="64" t="s">
        <v>422</v>
      </c>
      <c r="AI44" s="20"/>
    </row>
    <row r="45" spans="1:35" s="22" customFormat="1" ht="49.9" customHeight="1" x14ac:dyDescent="0.25">
      <c r="A45" s="424"/>
      <c r="B45" s="589"/>
      <c r="C45" s="124" t="s">
        <v>21</v>
      </c>
      <c r="D45" s="74">
        <f>SUM(J45,L45,N45,P45,R45,T45,V45,X45,Z45,AB45,AD45,AF45)</f>
        <v>58412.312000000005</v>
      </c>
      <c r="E45" s="74">
        <f>J45+L45+N45+P45+R45+T45+V45+X45+Z45+AB45+AD45+AF45</f>
        <v>58412.312000000005</v>
      </c>
      <c r="F45" s="74">
        <f>G45</f>
        <v>54689.445999999996</v>
      </c>
      <c r="G45" s="74">
        <f>K45+M45+O45+Q45+S45+U45+W45+Y45+AA45+AC45+AE45+AG45</f>
        <v>54689.445999999996</v>
      </c>
      <c r="H45" s="74">
        <f>IFERROR(G45/D45*100,0)</f>
        <v>93.626573110134714</v>
      </c>
      <c r="I45" s="74">
        <f>IFERROR(G45/E45*100,0)</f>
        <v>93.626573110134714</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7">
        <v>5661.41</v>
      </c>
      <c r="AA45" s="67">
        <v>5660.9</v>
      </c>
      <c r="AB45" s="67">
        <v>3960.3620000000001</v>
      </c>
      <c r="AC45" s="67">
        <v>3970.3609999999999</v>
      </c>
      <c r="AD45" s="67">
        <v>3402.2020000000002</v>
      </c>
      <c r="AE45" s="67">
        <v>3402.46</v>
      </c>
      <c r="AF45" s="67">
        <v>2646.7840000000001</v>
      </c>
      <c r="AG45" s="63">
        <v>-1096.3309999999999</v>
      </c>
      <c r="AH45" s="64" t="s">
        <v>374</v>
      </c>
      <c r="AI45" s="20"/>
    </row>
    <row r="46" spans="1:35" s="22" customFormat="1" ht="45.75" customHeight="1" x14ac:dyDescent="0.25">
      <c r="A46" s="425"/>
      <c r="B46" s="589"/>
      <c r="C46" s="297"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53"/>
      <c r="B47" s="590" t="s">
        <v>318</v>
      </c>
      <c r="C47" s="182" t="s">
        <v>20</v>
      </c>
      <c r="D47" s="183">
        <f>D48</f>
        <v>594.99900000000002</v>
      </c>
      <c r="E47" s="183">
        <f t="shared" ref="E47:G47" si="61">E48</f>
        <v>594.99900000000002</v>
      </c>
      <c r="F47" s="183">
        <f t="shared" si="61"/>
        <v>594.99800000000005</v>
      </c>
      <c r="G47" s="183">
        <f t="shared" si="61"/>
        <v>594.99800000000005</v>
      </c>
      <c r="H47" s="183">
        <f t="shared" ref="H47" si="62">IFERROR(G47/D47*100,0)</f>
        <v>99.99983193249065</v>
      </c>
      <c r="I47" s="183">
        <f t="shared" ref="I47" si="63">IFERROR(G47/E47*100,0)</f>
        <v>99.99983193249065</v>
      </c>
      <c r="J47" s="184">
        <f>J48</f>
        <v>0</v>
      </c>
      <c r="K47" s="184">
        <f t="shared" ref="K47:AG47" si="64">K48</f>
        <v>0</v>
      </c>
      <c r="L47" s="184">
        <f t="shared" si="64"/>
        <v>0</v>
      </c>
      <c r="M47" s="184">
        <f t="shared" si="64"/>
        <v>0</v>
      </c>
      <c r="N47" s="184">
        <f t="shared" si="64"/>
        <v>0</v>
      </c>
      <c r="O47" s="184">
        <f t="shared" si="64"/>
        <v>0</v>
      </c>
      <c r="P47" s="184">
        <f t="shared" si="64"/>
        <v>3.8969999999999998</v>
      </c>
      <c r="Q47" s="184">
        <f t="shared" si="64"/>
        <v>3.8969999999999998</v>
      </c>
      <c r="R47" s="184">
        <f t="shared" si="64"/>
        <v>311.24599999999998</v>
      </c>
      <c r="S47" s="184">
        <f t="shared" si="64"/>
        <v>17.245000000000001</v>
      </c>
      <c r="T47" s="184">
        <f t="shared" si="64"/>
        <v>123.13200000000001</v>
      </c>
      <c r="U47" s="184">
        <f t="shared" si="64"/>
        <v>123.13200000000001</v>
      </c>
      <c r="V47" s="184">
        <f t="shared" si="64"/>
        <v>78.316000000000003</v>
      </c>
      <c r="W47" s="184">
        <f t="shared" si="64"/>
        <v>78.316000000000003</v>
      </c>
      <c r="X47" s="184">
        <f t="shared" si="64"/>
        <v>78.408000000000001</v>
      </c>
      <c r="Y47" s="184">
        <f t="shared" si="64"/>
        <v>78.408000000000001</v>
      </c>
      <c r="Z47" s="184">
        <f t="shared" si="64"/>
        <v>0</v>
      </c>
      <c r="AA47" s="184">
        <f t="shared" si="64"/>
        <v>0</v>
      </c>
      <c r="AB47" s="184">
        <f t="shared" si="64"/>
        <v>0</v>
      </c>
      <c r="AC47" s="184">
        <f t="shared" si="64"/>
        <v>0</v>
      </c>
      <c r="AD47" s="184">
        <f t="shared" si="64"/>
        <v>0</v>
      </c>
      <c r="AE47" s="184">
        <f t="shared" si="64"/>
        <v>294</v>
      </c>
      <c r="AF47" s="184">
        <f t="shared" si="64"/>
        <v>0</v>
      </c>
      <c r="AG47" s="184">
        <f t="shared" si="64"/>
        <v>0</v>
      </c>
      <c r="AH47" s="64" t="s">
        <v>421</v>
      </c>
      <c r="AI47" s="20"/>
    </row>
    <row r="48" spans="1:35" s="22" customFormat="1" ht="52.9" customHeight="1" x14ac:dyDescent="0.25">
      <c r="A48" s="454"/>
      <c r="B48" s="591"/>
      <c r="C48" s="185" t="s">
        <v>21</v>
      </c>
      <c r="D48" s="186">
        <f>SUM(J48,L48,N48,P48,R48,T48,V48,X48,Z48,AB48,AD48,AF48)</f>
        <v>594.99900000000002</v>
      </c>
      <c r="E48" s="186">
        <f>E50+E52</f>
        <v>594.99900000000002</v>
      </c>
      <c r="F48" s="186">
        <f>G48</f>
        <v>594.99800000000005</v>
      </c>
      <c r="G48" s="186">
        <f>SUM(K48,M48,O48,Q48,S48,U48,W48,Y48,AA48,AC48,AE48,AG48)</f>
        <v>594.99800000000005</v>
      </c>
      <c r="H48" s="186">
        <f>IFERROR(G48/D48*100,0)</f>
        <v>99.99983193249065</v>
      </c>
      <c r="I48" s="186">
        <f>IFERROR(G48/E48*100,0)</f>
        <v>99.99983193249065</v>
      </c>
      <c r="J48" s="192">
        <f>J50+J52</f>
        <v>0</v>
      </c>
      <c r="K48" s="192">
        <f t="shared" ref="K48:AG48" si="65">K50+K52</f>
        <v>0</v>
      </c>
      <c r="L48" s="192">
        <f t="shared" si="65"/>
        <v>0</v>
      </c>
      <c r="M48" s="192">
        <f t="shared" si="65"/>
        <v>0</v>
      </c>
      <c r="N48" s="192">
        <f t="shared" si="65"/>
        <v>0</v>
      </c>
      <c r="O48" s="192">
        <f t="shared" si="65"/>
        <v>0</v>
      </c>
      <c r="P48" s="192">
        <f t="shared" si="65"/>
        <v>3.8969999999999998</v>
      </c>
      <c r="Q48" s="192">
        <f t="shared" si="65"/>
        <v>3.8969999999999998</v>
      </c>
      <c r="R48" s="192">
        <f t="shared" si="65"/>
        <v>311.24599999999998</v>
      </c>
      <c r="S48" s="192">
        <f t="shared" si="65"/>
        <v>17.245000000000001</v>
      </c>
      <c r="T48" s="192">
        <f t="shared" si="65"/>
        <v>123.13200000000001</v>
      </c>
      <c r="U48" s="192">
        <f t="shared" si="65"/>
        <v>123.13200000000001</v>
      </c>
      <c r="V48" s="192">
        <f t="shared" si="65"/>
        <v>78.316000000000003</v>
      </c>
      <c r="W48" s="192">
        <v>78.316000000000003</v>
      </c>
      <c r="X48" s="192">
        <f t="shared" si="65"/>
        <v>78.408000000000001</v>
      </c>
      <c r="Y48" s="192">
        <v>78.408000000000001</v>
      </c>
      <c r="Z48" s="192">
        <f t="shared" si="65"/>
        <v>0</v>
      </c>
      <c r="AA48" s="192">
        <f t="shared" si="65"/>
        <v>0</v>
      </c>
      <c r="AB48" s="192">
        <f t="shared" si="65"/>
        <v>0</v>
      </c>
      <c r="AC48" s="192">
        <f t="shared" si="65"/>
        <v>0</v>
      </c>
      <c r="AD48" s="192">
        <f t="shared" si="65"/>
        <v>0</v>
      </c>
      <c r="AE48" s="192">
        <f t="shared" si="65"/>
        <v>294</v>
      </c>
      <c r="AF48" s="192">
        <f t="shared" si="65"/>
        <v>0</v>
      </c>
      <c r="AG48" s="192">
        <f t="shared" si="65"/>
        <v>0</v>
      </c>
      <c r="AH48" s="60"/>
      <c r="AI48" s="20"/>
    </row>
    <row r="49" spans="1:35" s="22" customFormat="1" ht="160.9" customHeight="1" x14ac:dyDescent="0.25">
      <c r="A49" s="437"/>
      <c r="B49" s="592" t="s">
        <v>319</v>
      </c>
      <c r="C49" s="126" t="s">
        <v>20</v>
      </c>
      <c r="D49" s="74">
        <f>D50</f>
        <v>300.99900000000002</v>
      </c>
      <c r="E49" s="74">
        <f t="shared" ref="E49:F49" si="66">E50</f>
        <v>300.99900000000002</v>
      </c>
      <c r="F49" s="74">
        <f t="shared" si="66"/>
        <v>301</v>
      </c>
      <c r="G49" s="74">
        <f>G50</f>
        <v>301</v>
      </c>
      <c r="H49" s="62">
        <f t="shared" ref="H49" si="67">IFERROR(G49/D49*100,0)</f>
        <v>100.00033222701737</v>
      </c>
      <c r="I49" s="62">
        <f t="shared" ref="I49" si="68">IFERROR(G49/E49*100,0)</f>
        <v>100.00033222701737</v>
      </c>
      <c r="J49" s="63">
        <f>J50</f>
        <v>0</v>
      </c>
      <c r="K49" s="63">
        <f t="shared" ref="K49:AG49" si="69">K50</f>
        <v>0</v>
      </c>
      <c r="L49" s="63">
        <f t="shared" si="69"/>
        <v>0</v>
      </c>
      <c r="M49" s="63">
        <f t="shared" si="69"/>
        <v>0</v>
      </c>
      <c r="N49" s="63">
        <f t="shared" si="69"/>
        <v>0</v>
      </c>
      <c r="O49" s="63">
        <f t="shared" si="69"/>
        <v>0</v>
      </c>
      <c r="P49" s="63">
        <f t="shared" si="69"/>
        <v>3.8969999999999998</v>
      </c>
      <c r="Q49" s="63">
        <f t="shared" si="69"/>
        <v>3.8969999999999998</v>
      </c>
      <c r="R49" s="63">
        <f t="shared" si="69"/>
        <v>17.245999999999999</v>
      </c>
      <c r="S49" s="63">
        <f t="shared" si="69"/>
        <v>17.245000000000001</v>
      </c>
      <c r="T49" s="63">
        <f t="shared" si="69"/>
        <v>123.13200000000001</v>
      </c>
      <c r="U49" s="63">
        <f t="shared" si="69"/>
        <v>123.13200000000001</v>
      </c>
      <c r="V49" s="63">
        <f t="shared" si="69"/>
        <v>78.316000000000003</v>
      </c>
      <c r="W49" s="63">
        <f t="shared" si="69"/>
        <v>78.316000000000003</v>
      </c>
      <c r="X49" s="63">
        <f t="shared" si="69"/>
        <v>78.408000000000001</v>
      </c>
      <c r="Y49" s="63">
        <f t="shared" si="69"/>
        <v>78.41</v>
      </c>
      <c r="Z49" s="63">
        <f t="shared" si="69"/>
        <v>0</v>
      </c>
      <c r="AA49" s="63">
        <f t="shared" si="69"/>
        <v>0</v>
      </c>
      <c r="AB49" s="63">
        <f t="shared" si="69"/>
        <v>0</v>
      </c>
      <c r="AC49" s="63">
        <f t="shared" si="69"/>
        <v>0</v>
      </c>
      <c r="AD49" s="63">
        <f t="shared" si="69"/>
        <v>0</v>
      </c>
      <c r="AE49" s="63">
        <f t="shared" si="69"/>
        <v>0</v>
      </c>
      <c r="AF49" s="63">
        <f t="shared" si="69"/>
        <v>0</v>
      </c>
      <c r="AG49" s="63">
        <f t="shared" si="69"/>
        <v>0</v>
      </c>
      <c r="AH49" s="64" t="s">
        <v>376</v>
      </c>
      <c r="AI49" s="20"/>
    </row>
    <row r="50" spans="1:35" s="22" customFormat="1" ht="37.9" customHeight="1" x14ac:dyDescent="0.25">
      <c r="A50" s="438"/>
      <c r="B50" s="593"/>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94" t="s">
        <v>320</v>
      </c>
      <c r="C51" s="126" t="s">
        <v>20</v>
      </c>
      <c r="D51" s="74">
        <f t="shared" ref="D51" si="70">D52</f>
        <v>294</v>
      </c>
      <c r="E51" s="62">
        <f>E52</f>
        <v>294</v>
      </c>
      <c r="F51" s="62">
        <f>G51</f>
        <v>294</v>
      </c>
      <c r="G51" s="62">
        <f>G52</f>
        <v>294</v>
      </c>
      <c r="H51" s="62">
        <f t="shared" ref="H51:H52" si="71">IFERROR(G51/D51*100,0)</f>
        <v>100</v>
      </c>
      <c r="I51" s="62">
        <f t="shared" ref="I51:I52" si="72">IFERROR(G51/E51*100,0)</f>
        <v>100</v>
      </c>
      <c r="J51" s="62">
        <f t="shared" ref="J51:AG51" si="73">J52</f>
        <v>0</v>
      </c>
      <c r="K51" s="62">
        <f t="shared" si="73"/>
        <v>0</v>
      </c>
      <c r="L51" s="62">
        <f t="shared" si="73"/>
        <v>0</v>
      </c>
      <c r="M51" s="62">
        <f t="shared" si="73"/>
        <v>0</v>
      </c>
      <c r="N51" s="62">
        <f t="shared" si="73"/>
        <v>0</v>
      </c>
      <c r="O51" s="62">
        <f t="shared" si="73"/>
        <v>0</v>
      </c>
      <c r="P51" s="62">
        <f t="shared" si="73"/>
        <v>0</v>
      </c>
      <c r="Q51" s="62">
        <f t="shared" si="73"/>
        <v>0</v>
      </c>
      <c r="R51" s="62">
        <f t="shared" si="73"/>
        <v>294</v>
      </c>
      <c r="S51" s="62">
        <f t="shared" si="73"/>
        <v>0</v>
      </c>
      <c r="T51" s="62">
        <f t="shared" si="73"/>
        <v>0</v>
      </c>
      <c r="U51" s="62">
        <f t="shared" si="73"/>
        <v>0</v>
      </c>
      <c r="V51" s="62">
        <f t="shared" si="73"/>
        <v>0</v>
      </c>
      <c r="W51" s="62">
        <f t="shared" si="73"/>
        <v>0</v>
      </c>
      <c r="X51" s="62">
        <f t="shared" si="73"/>
        <v>0</v>
      </c>
      <c r="Y51" s="62">
        <f t="shared" si="73"/>
        <v>0</v>
      </c>
      <c r="Z51" s="62">
        <f t="shared" si="73"/>
        <v>0</v>
      </c>
      <c r="AA51" s="62">
        <f t="shared" si="73"/>
        <v>0</v>
      </c>
      <c r="AB51" s="62">
        <f t="shared" si="73"/>
        <v>0</v>
      </c>
      <c r="AC51" s="62">
        <f t="shared" si="73"/>
        <v>0</v>
      </c>
      <c r="AD51" s="62">
        <f t="shared" si="73"/>
        <v>0</v>
      </c>
      <c r="AE51" s="62">
        <f t="shared" si="73"/>
        <v>294</v>
      </c>
      <c r="AF51" s="62">
        <f t="shared" si="73"/>
        <v>0</v>
      </c>
      <c r="AG51" s="62">
        <f t="shared" si="73"/>
        <v>0</v>
      </c>
      <c r="AH51" s="64"/>
      <c r="AI51" s="20"/>
    </row>
    <row r="52" spans="1:35" s="22" customFormat="1" ht="109.15" customHeight="1" x14ac:dyDescent="0.25">
      <c r="A52" s="162"/>
      <c r="B52" s="594"/>
      <c r="C52" s="126" t="s">
        <v>21</v>
      </c>
      <c r="D52" s="74">
        <f>SUM(J52,L52,N52,P52,R52,T52,V52,X52,Z52,AB52,AD52,AF52)</f>
        <v>294</v>
      </c>
      <c r="E52" s="62">
        <f>J52+L52+N52+P52+R52+T52+V52+X52+Z52</f>
        <v>294</v>
      </c>
      <c r="F52" s="62">
        <f t="shared" ref="F52" si="74">G52</f>
        <v>294</v>
      </c>
      <c r="G52" s="62">
        <f t="shared" ref="G52" si="75">SUM(K52,M52,O52,Q52,S52,U52,W52,Y52,AA52,AC52,AE52,AG52)</f>
        <v>294</v>
      </c>
      <c r="H52" s="62">
        <f t="shared" si="71"/>
        <v>100</v>
      </c>
      <c r="I52" s="62">
        <f t="shared" si="72"/>
        <v>100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294</v>
      </c>
      <c r="AF52" s="63">
        <v>0</v>
      </c>
      <c r="AG52" s="63">
        <v>0</v>
      </c>
      <c r="AH52" s="64" t="s">
        <v>453</v>
      </c>
      <c r="AI52" s="20"/>
    </row>
    <row r="53" spans="1:35" s="18" customFormat="1" ht="21.75" customHeight="1" x14ac:dyDescent="0.25">
      <c r="A53" s="163"/>
      <c r="B53" s="415" t="s">
        <v>32</v>
      </c>
      <c r="C53" s="416"/>
      <c r="D53" s="416"/>
      <c r="E53" s="416"/>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7"/>
      <c r="AH53" s="46"/>
      <c r="AI53" s="19"/>
    </row>
    <row r="54" spans="1:35" s="30" customFormat="1" ht="27" customHeight="1" x14ac:dyDescent="0.25">
      <c r="A54" s="579" t="s">
        <v>321</v>
      </c>
      <c r="B54" s="581" t="s">
        <v>34</v>
      </c>
      <c r="C54" s="182" t="s">
        <v>20</v>
      </c>
      <c r="D54" s="183">
        <f>D55</f>
        <v>28984.434999999998</v>
      </c>
      <c r="E54" s="183">
        <f>E55</f>
        <v>23601.241999999998</v>
      </c>
      <c r="F54" s="183">
        <f>F55</f>
        <v>21637.156000000003</v>
      </c>
      <c r="G54" s="183">
        <f t="shared" ref="G54" si="76">G55</f>
        <v>28615.545000000002</v>
      </c>
      <c r="H54" s="183">
        <f t="shared" ref="H54:H61" si="77">IFERROR(G54/D54*100,0)</f>
        <v>98.727282418994903</v>
      </c>
      <c r="I54" s="183">
        <f t="shared" ref="I54:I61" si="78">IFERROR(G54/E54*100,0)</f>
        <v>121.24592849816973</v>
      </c>
      <c r="J54" s="184">
        <f t="shared" ref="J54:AG54" si="79">SUM(J55:J55)</f>
        <v>4021.8620000000001</v>
      </c>
      <c r="K54" s="184">
        <f t="shared" si="79"/>
        <v>1653.05</v>
      </c>
      <c r="L54" s="184">
        <f t="shared" si="79"/>
        <v>2341.7439999999997</v>
      </c>
      <c r="M54" s="184">
        <f t="shared" si="79"/>
        <v>2275.7719999999999</v>
      </c>
      <c r="N54" s="184">
        <f t="shared" si="79"/>
        <v>1578.9070000000002</v>
      </c>
      <c r="O54" s="184">
        <f t="shared" si="79"/>
        <v>1799.63</v>
      </c>
      <c r="P54" s="184">
        <f t="shared" si="79"/>
        <v>3345.3140000000003</v>
      </c>
      <c r="Q54" s="184">
        <f t="shared" si="79"/>
        <v>1604.3829999999998</v>
      </c>
      <c r="R54" s="184">
        <f t="shared" si="79"/>
        <v>2283.3710000000001</v>
      </c>
      <c r="S54" s="184">
        <f t="shared" si="79"/>
        <v>1878.6780000000001</v>
      </c>
      <c r="T54" s="184">
        <f t="shared" si="79"/>
        <v>1456.636</v>
      </c>
      <c r="U54" s="184">
        <f t="shared" si="79"/>
        <v>3360.2440000000001</v>
      </c>
      <c r="V54" s="184">
        <f t="shared" si="79"/>
        <v>2871.078</v>
      </c>
      <c r="W54" s="184">
        <f t="shared" si="79"/>
        <v>2240.4299999999998</v>
      </c>
      <c r="X54" s="184">
        <f t="shared" si="79"/>
        <v>2130.2159999999999</v>
      </c>
      <c r="Y54" s="184">
        <f t="shared" si="79"/>
        <v>1763.9829999999999</v>
      </c>
      <c r="Z54" s="184">
        <f t="shared" si="79"/>
        <v>1595.4070000000002</v>
      </c>
      <c r="AA54" s="184">
        <f t="shared" si="79"/>
        <v>2812.681</v>
      </c>
      <c r="AB54" s="184">
        <f t="shared" si="79"/>
        <v>1976.7070000000001</v>
      </c>
      <c r="AC54" s="184">
        <f t="shared" si="79"/>
        <v>2248.3050000000003</v>
      </c>
      <c r="AD54" s="184">
        <f t="shared" si="79"/>
        <v>2511.413</v>
      </c>
      <c r="AE54" s="184">
        <f t="shared" si="79"/>
        <v>1969.6550000000002</v>
      </c>
      <c r="AF54" s="184">
        <f t="shared" si="79"/>
        <v>2871.7799999999997</v>
      </c>
      <c r="AG54" s="184">
        <f t="shared" si="79"/>
        <v>5008.7340000000004</v>
      </c>
      <c r="AH54" s="64" t="s">
        <v>405</v>
      </c>
      <c r="AI54" s="29"/>
    </row>
    <row r="55" spans="1:35" s="31" customFormat="1" ht="54" customHeight="1" x14ac:dyDescent="0.25">
      <c r="A55" s="580"/>
      <c r="B55" s="582"/>
      <c r="C55" s="185" t="s">
        <v>21</v>
      </c>
      <c r="D55" s="186">
        <f>SUM(J55,L55,N55,P55,R55,T55,V55,X55,Z55,AB55,AD55,AF55)</f>
        <v>28984.434999999998</v>
      </c>
      <c r="E55" s="186">
        <f>J55+L55+N55+P55+R55+T55+V55+X55+Z55+AB55</f>
        <v>23601.241999999998</v>
      </c>
      <c r="F55" s="186">
        <f>K55+M55+O55+Q55+S55+U55+W55+Y55+AA55+AC55</f>
        <v>21637.156000000003</v>
      </c>
      <c r="G55" s="186">
        <f>SUM(K55,M55,O55,Q55,S55,U55,W55,Y55,AA55,AC55,AE55,AG55)</f>
        <v>28615.545000000002</v>
      </c>
      <c r="H55" s="186">
        <f t="shared" si="77"/>
        <v>98.727282418994903</v>
      </c>
      <c r="I55" s="186">
        <f t="shared" si="78"/>
        <v>121.24592849816973</v>
      </c>
      <c r="J55" s="192">
        <f>J57+J59+J61</f>
        <v>4021.8620000000001</v>
      </c>
      <c r="K55" s="192">
        <f t="shared" ref="K55:AG55" si="80">K57+K59+K61</f>
        <v>1653.05</v>
      </c>
      <c r="L55" s="192">
        <f t="shared" si="80"/>
        <v>2341.7439999999997</v>
      </c>
      <c r="M55" s="192">
        <f t="shared" si="80"/>
        <v>2275.7719999999999</v>
      </c>
      <c r="N55" s="192">
        <f t="shared" si="80"/>
        <v>1578.9070000000002</v>
      </c>
      <c r="O55" s="192">
        <f t="shared" si="80"/>
        <v>1799.63</v>
      </c>
      <c r="P55" s="192">
        <f t="shared" si="80"/>
        <v>3345.3140000000003</v>
      </c>
      <c r="Q55" s="192">
        <f t="shared" si="80"/>
        <v>1604.3829999999998</v>
      </c>
      <c r="R55" s="192">
        <f t="shared" si="80"/>
        <v>2283.3710000000001</v>
      </c>
      <c r="S55" s="192">
        <f t="shared" si="80"/>
        <v>1878.6780000000001</v>
      </c>
      <c r="T55" s="192">
        <f t="shared" si="80"/>
        <v>1456.636</v>
      </c>
      <c r="U55" s="192">
        <f t="shared" si="80"/>
        <v>3360.2440000000001</v>
      </c>
      <c r="V55" s="192">
        <f t="shared" si="80"/>
        <v>2871.078</v>
      </c>
      <c r="W55" s="192">
        <f t="shared" si="80"/>
        <v>2240.4299999999998</v>
      </c>
      <c r="X55" s="192">
        <f t="shared" si="80"/>
        <v>2130.2159999999999</v>
      </c>
      <c r="Y55" s="192">
        <f t="shared" si="80"/>
        <v>1763.9829999999999</v>
      </c>
      <c r="Z55" s="192">
        <f t="shared" si="80"/>
        <v>1595.4070000000002</v>
      </c>
      <c r="AA55" s="192">
        <f t="shared" si="80"/>
        <v>2812.681</v>
      </c>
      <c r="AB55" s="192">
        <f t="shared" si="80"/>
        <v>1976.7070000000001</v>
      </c>
      <c r="AC55" s="192">
        <f t="shared" si="80"/>
        <v>2248.3050000000003</v>
      </c>
      <c r="AD55" s="192">
        <f t="shared" si="80"/>
        <v>2511.413</v>
      </c>
      <c r="AE55" s="192">
        <f t="shared" si="80"/>
        <v>1969.6550000000002</v>
      </c>
      <c r="AF55" s="192">
        <f t="shared" si="80"/>
        <v>2871.7799999999997</v>
      </c>
      <c r="AG55" s="192">
        <f t="shared" si="80"/>
        <v>5008.7340000000004</v>
      </c>
      <c r="AH55" s="43"/>
      <c r="AI55" s="29"/>
    </row>
    <row r="56" spans="1:35" s="10" customFormat="1" ht="30.75" customHeight="1" x14ac:dyDescent="0.25">
      <c r="A56" s="412"/>
      <c r="B56" s="530" t="s">
        <v>322</v>
      </c>
      <c r="C56" s="123" t="s">
        <v>20</v>
      </c>
      <c r="D56" s="70">
        <f>D57</f>
        <v>5864.8899999999994</v>
      </c>
      <c r="E56" s="70">
        <f t="shared" ref="E56:G56" si="81">E57</f>
        <v>5864.8899999999994</v>
      </c>
      <c r="F56" s="70">
        <f t="shared" si="81"/>
        <v>5671.35</v>
      </c>
      <c r="G56" s="70">
        <f t="shared" si="81"/>
        <v>5671.35</v>
      </c>
      <c r="H56" s="70">
        <f t="shared" si="77"/>
        <v>96.700023359346915</v>
      </c>
      <c r="I56" s="70">
        <f t="shared" si="78"/>
        <v>96.700023359346915</v>
      </c>
      <c r="J56" s="71">
        <f t="shared" ref="J56:AG56" si="82">SUM(J57:J57)</f>
        <v>791.31200000000001</v>
      </c>
      <c r="K56" s="71">
        <f t="shared" si="82"/>
        <v>293.041</v>
      </c>
      <c r="L56" s="71">
        <f t="shared" si="82"/>
        <v>467.18099999999998</v>
      </c>
      <c r="M56" s="71">
        <f t="shared" si="82"/>
        <v>416.40300000000002</v>
      </c>
      <c r="N56" s="71">
        <f t="shared" si="82"/>
        <v>313.41399999999999</v>
      </c>
      <c r="O56" s="71">
        <f t="shared" si="82"/>
        <v>306.27699999999999</v>
      </c>
      <c r="P56" s="71">
        <f t="shared" si="82"/>
        <v>669.47400000000005</v>
      </c>
      <c r="Q56" s="71">
        <f t="shared" si="82"/>
        <v>320.39699999999999</v>
      </c>
      <c r="R56" s="71">
        <f t="shared" si="82"/>
        <v>455.84399999999999</v>
      </c>
      <c r="S56" s="71">
        <f t="shared" si="82"/>
        <v>419.27100000000002</v>
      </c>
      <c r="T56" s="71">
        <f t="shared" si="82"/>
        <v>313.41399999999999</v>
      </c>
      <c r="U56" s="71">
        <f t="shared" si="82"/>
        <v>619.20799999999997</v>
      </c>
      <c r="V56" s="71">
        <f t="shared" si="82"/>
        <v>567.45399999999995</v>
      </c>
      <c r="W56" s="71">
        <f t="shared" si="82"/>
        <v>327.69099999999997</v>
      </c>
      <c r="X56" s="71">
        <f t="shared" si="82"/>
        <v>425.03399999999999</v>
      </c>
      <c r="Y56" s="71">
        <f t="shared" si="82"/>
        <v>385.75099999999998</v>
      </c>
      <c r="Z56" s="71">
        <f t="shared" si="82"/>
        <v>314.81400000000002</v>
      </c>
      <c r="AA56" s="71">
        <f>AA57</f>
        <v>571.21500000000003</v>
      </c>
      <c r="AB56" s="71">
        <f t="shared" si="82"/>
        <v>363.41399999999999</v>
      </c>
      <c r="AC56" s="71">
        <f t="shared" si="82"/>
        <v>540.21900000000005</v>
      </c>
      <c r="AD56" s="71">
        <f t="shared" si="82"/>
        <v>649.07399999999996</v>
      </c>
      <c r="AE56" s="71">
        <f t="shared" si="82"/>
        <v>421.29500000000002</v>
      </c>
      <c r="AF56" s="71">
        <f t="shared" si="82"/>
        <v>534.46100000000001</v>
      </c>
      <c r="AG56" s="71">
        <f t="shared" si="82"/>
        <v>1050.5820000000001</v>
      </c>
      <c r="AH56" s="64" t="s">
        <v>432</v>
      </c>
    </row>
    <row r="57" spans="1:35" s="10" customFormat="1" ht="27" customHeight="1" x14ac:dyDescent="0.25">
      <c r="A57" s="413"/>
      <c r="B57" s="531"/>
      <c r="C57" s="124" t="s">
        <v>21</v>
      </c>
      <c r="D57" s="74">
        <f>SUM(J57,L57,N57,P57,R57,T57,V57,X57,Z57,AB57,AD57,AF57)</f>
        <v>5864.8899999999994</v>
      </c>
      <c r="E57" s="74">
        <f>J57+L57+N57+P57+R57+T57+V57+X57+Z57+AB57+AD57+AF57</f>
        <v>5864.8899999999994</v>
      </c>
      <c r="F57" s="74">
        <f>K57+M57+O57+Q57+S57+U57+W57+Y57+AA57+AC57+AE57+AG57</f>
        <v>5671.35</v>
      </c>
      <c r="G57" s="74">
        <f>SUM(K57,M57,O57,Q57,S57,U57,W57,Y57,AA57,AC57,AE57,AG57)</f>
        <v>5671.35</v>
      </c>
      <c r="H57" s="74">
        <f t="shared" si="77"/>
        <v>96.700023359346915</v>
      </c>
      <c r="I57" s="74">
        <f t="shared" si="78"/>
        <v>96.700023359346915</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314.81400000000002</v>
      </c>
      <c r="AA57" s="63">
        <v>571.21500000000003</v>
      </c>
      <c r="AB57" s="67">
        <v>363.41399999999999</v>
      </c>
      <c r="AC57" s="67">
        <v>540.21900000000005</v>
      </c>
      <c r="AD57" s="67">
        <v>649.07399999999996</v>
      </c>
      <c r="AE57" s="67">
        <v>421.29500000000002</v>
      </c>
      <c r="AF57" s="67">
        <v>534.46100000000001</v>
      </c>
      <c r="AG57" s="67">
        <v>1050.5820000000001</v>
      </c>
      <c r="AH57" s="43"/>
    </row>
    <row r="58" spans="1:35" s="10" customFormat="1" ht="97.15" customHeight="1" x14ac:dyDescent="0.25">
      <c r="A58" s="412"/>
      <c r="B58" s="529" t="s">
        <v>323</v>
      </c>
      <c r="C58" s="123" t="s">
        <v>20</v>
      </c>
      <c r="D58" s="70">
        <f>D59</f>
        <v>3868.8589999999999</v>
      </c>
      <c r="E58" s="70">
        <f>E59</f>
        <v>3868.8589999999999</v>
      </c>
      <c r="F58" s="70">
        <f>F59</f>
        <v>3831.9690000000001</v>
      </c>
      <c r="G58" s="70">
        <f t="shared" ref="F58:G60" si="83">G59</f>
        <v>3831.9690000000001</v>
      </c>
      <c r="H58" s="70">
        <f t="shared" si="77"/>
        <v>99.046488900215806</v>
      </c>
      <c r="I58" s="70">
        <f t="shared" si="78"/>
        <v>99.046488900215806</v>
      </c>
      <c r="J58" s="71">
        <f t="shared" ref="J58:AG60" si="84">SUM(J59:J59)</f>
        <v>533.548</v>
      </c>
      <c r="K58" s="71">
        <v>232.51</v>
      </c>
      <c r="L58" s="71">
        <f t="shared" si="84"/>
        <v>315.01400000000001</v>
      </c>
      <c r="M58" s="71">
        <f t="shared" si="84"/>
        <v>249.572</v>
      </c>
      <c r="N58" s="71">
        <f t="shared" si="84"/>
        <v>215.05500000000001</v>
      </c>
      <c r="O58" s="71">
        <f t="shared" si="84"/>
        <v>214.136</v>
      </c>
      <c r="P58" s="71">
        <f t="shared" si="84"/>
        <v>451.37700000000001</v>
      </c>
      <c r="Q58" s="71">
        <f t="shared" si="84"/>
        <v>260.827</v>
      </c>
      <c r="R58" s="71">
        <f t="shared" si="84"/>
        <v>307.363</v>
      </c>
      <c r="S58" s="71">
        <f t="shared" si="84"/>
        <v>207.21700000000001</v>
      </c>
      <c r="T58" s="71">
        <f t="shared" si="84"/>
        <v>215.05500000000001</v>
      </c>
      <c r="U58" s="71">
        <f t="shared" si="84"/>
        <v>413.5</v>
      </c>
      <c r="V58" s="71">
        <f t="shared" si="84"/>
        <v>382.60300000000001</v>
      </c>
      <c r="W58" s="71">
        <f t="shared" si="84"/>
        <v>252.35400000000001</v>
      </c>
      <c r="X58" s="71">
        <f t="shared" si="84"/>
        <v>286.59399999999999</v>
      </c>
      <c r="Y58" s="71">
        <f t="shared" si="84"/>
        <v>335.77199999999999</v>
      </c>
      <c r="Z58" s="71">
        <f t="shared" si="84"/>
        <v>215.05500000000001</v>
      </c>
      <c r="AA58" s="71">
        <f t="shared" si="84"/>
        <v>455.06299999999999</v>
      </c>
      <c r="AB58" s="71">
        <f t="shared" si="84"/>
        <v>245.05500000000001</v>
      </c>
      <c r="AC58" s="71">
        <f t="shared" si="84"/>
        <v>257.16000000000003</v>
      </c>
      <c r="AD58" s="71">
        <f t="shared" si="84"/>
        <v>316.71499999999997</v>
      </c>
      <c r="AE58" s="71">
        <f t="shared" si="84"/>
        <v>252.893</v>
      </c>
      <c r="AF58" s="71">
        <f t="shared" si="84"/>
        <v>385.42500000000001</v>
      </c>
      <c r="AG58" s="71">
        <f t="shared" si="84"/>
        <v>700.96500000000003</v>
      </c>
      <c r="AH58" s="64" t="s">
        <v>431</v>
      </c>
    </row>
    <row r="59" spans="1:35" s="10" customFormat="1" ht="37.9" customHeight="1" x14ac:dyDescent="0.25">
      <c r="A59" s="413"/>
      <c r="B59" s="529"/>
      <c r="C59" s="124" t="s">
        <v>21</v>
      </c>
      <c r="D59" s="74">
        <f>SUM(J59,L59,N59,P59,R59,T59,V59,X59,Z59,AB59,AD59,AF59)</f>
        <v>3868.8589999999999</v>
      </c>
      <c r="E59" s="74">
        <f>J59+L59+N59+P59+R59+T59+V59+X59+Z59+AB59+AD59+AF59</f>
        <v>3868.8589999999999</v>
      </c>
      <c r="F59" s="74">
        <f>K59+M59+O59+Q59+S59+U59+W59+Y59+AA59+AC59+AE59+AG59</f>
        <v>3831.9690000000001</v>
      </c>
      <c r="G59" s="74">
        <f>SUM(K59,M59,O59,Q59,S59,U59,W59,Y59,AA59,AC59,AE59,AG59)</f>
        <v>3831.9690000000001</v>
      </c>
      <c r="H59" s="74">
        <f t="shared" si="77"/>
        <v>99.046488900215806</v>
      </c>
      <c r="I59" s="74">
        <f t="shared" si="78"/>
        <v>99.046488900215806</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316.71499999999997</v>
      </c>
      <c r="AE59" s="67">
        <v>252.893</v>
      </c>
      <c r="AF59" s="67">
        <v>385.42500000000001</v>
      </c>
      <c r="AG59" s="67">
        <v>700.96500000000003</v>
      </c>
      <c r="AH59" s="43"/>
    </row>
    <row r="60" spans="1:35" s="10" customFormat="1" ht="68.45" customHeight="1" x14ac:dyDescent="0.25">
      <c r="A60" s="412"/>
      <c r="B60" s="529" t="s">
        <v>324</v>
      </c>
      <c r="C60" s="123" t="s">
        <v>20</v>
      </c>
      <c r="D60" s="70">
        <f>D61</f>
        <v>19250.686000000002</v>
      </c>
      <c r="E60" s="70">
        <f>E61</f>
        <v>19250.686000000002</v>
      </c>
      <c r="F60" s="70">
        <f t="shared" si="83"/>
        <v>19112.226000000002</v>
      </c>
      <c r="G60" s="70">
        <f>G61</f>
        <v>19112.226000000002</v>
      </c>
      <c r="H60" s="70">
        <f t="shared" si="77"/>
        <v>99.280752904078327</v>
      </c>
      <c r="I60" s="70">
        <f t="shared" si="78"/>
        <v>99.280752904078327</v>
      </c>
      <c r="J60" s="71">
        <f t="shared" si="84"/>
        <v>2697.002</v>
      </c>
      <c r="K60" s="71">
        <f t="shared" si="84"/>
        <v>1127.499</v>
      </c>
      <c r="L60" s="71">
        <f t="shared" si="84"/>
        <v>1559.549</v>
      </c>
      <c r="M60" s="71">
        <f t="shared" si="84"/>
        <v>1609.797</v>
      </c>
      <c r="N60" s="71">
        <f t="shared" si="84"/>
        <v>1050.4380000000001</v>
      </c>
      <c r="O60" s="71">
        <v>1279.2170000000001</v>
      </c>
      <c r="P60" s="71">
        <f t="shared" si="84"/>
        <v>2224.4630000000002</v>
      </c>
      <c r="Q60" s="71">
        <f t="shared" si="84"/>
        <v>1023.159</v>
      </c>
      <c r="R60" s="71">
        <f t="shared" si="84"/>
        <v>1520.164</v>
      </c>
      <c r="S60" s="71">
        <f t="shared" si="84"/>
        <v>1252.19</v>
      </c>
      <c r="T60" s="71">
        <f>T61</f>
        <v>928.16700000000003</v>
      </c>
      <c r="U60" s="71">
        <f>U61</f>
        <v>2327.5360000000001</v>
      </c>
      <c r="V60" s="71">
        <f t="shared" si="84"/>
        <v>1921.021</v>
      </c>
      <c r="W60" s="71">
        <f t="shared" si="84"/>
        <v>1660.385</v>
      </c>
      <c r="X60" s="71">
        <f t="shared" si="84"/>
        <v>1418.588</v>
      </c>
      <c r="Y60" s="71">
        <f t="shared" si="84"/>
        <v>1042.46</v>
      </c>
      <c r="Z60" s="71">
        <f t="shared" si="84"/>
        <v>1065.538</v>
      </c>
      <c r="AA60" s="71">
        <f t="shared" si="84"/>
        <v>1786.403</v>
      </c>
      <c r="AB60" s="71">
        <f t="shared" si="84"/>
        <v>1368.2380000000001</v>
      </c>
      <c r="AC60" s="71">
        <f t="shared" si="84"/>
        <v>1450.9259999999999</v>
      </c>
      <c r="AD60" s="71">
        <f t="shared" si="84"/>
        <v>1545.624</v>
      </c>
      <c r="AE60" s="71">
        <f t="shared" si="84"/>
        <v>1295.4670000000001</v>
      </c>
      <c r="AF60" s="71">
        <f t="shared" si="84"/>
        <v>1951.894</v>
      </c>
      <c r="AG60" s="71">
        <f t="shared" si="84"/>
        <v>3257.1869999999999</v>
      </c>
      <c r="AH60" s="64" t="s">
        <v>430</v>
      </c>
    </row>
    <row r="61" spans="1:35" s="10" customFormat="1" ht="48.6" customHeight="1" x14ac:dyDescent="0.25">
      <c r="A61" s="413"/>
      <c r="B61" s="529"/>
      <c r="C61" s="124" t="s">
        <v>21</v>
      </c>
      <c r="D61" s="74">
        <f>SUM(J61,L61,N61,P61,R61,T61,V61,X61,Z61,AB61,AD61,AF61)</f>
        <v>19250.686000000002</v>
      </c>
      <c r="E61" s="74">
        <f>J61+L61+N61+P61+R61+T61+V61+X61+Z61+AB61+AD61+AF61</f>
        <v>19250.686000000002</v>
      </c>
      <c r="F61" s="74">
        <f>K61+M61+O61+Q61+S61+U61+W61+Y61+AA61+AC61+AE61+AG61</f>
        <v>19112.226000000002</v>
      </c>
      <c r="G61" s="74">
        <f>SUM(K61,M61,O61,Q61,S61,U61,W61,Y61,AA61,AC61,AE61,AG61)</f>
        <v>19112.226000000002</v>
      </c>
      <c r="H61" s="74">
        <f t="shared" si="77"/>
        <v>99.280752904078327</v>
      </c>
      <c r="I61" s="74">
        <f t="shared" si="78"/>
        <v>99.280752904078327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1065.538</v>
      </c>
      <c r="AA61" s="67">
        <v>1786.403</v>
      </c>
      <c r="AB61" s="67">
        <v>1368.2380000000001</v>
      </c>
      <c r="AC61" s="67">
        <v>1450.9259999999999</v>
      </c>
      <c r="AD61" s="67">
        <v>1545.624</v>
      </c>
      <c r="AE61" s="67">
        <v>1295.4670000000001</v>
      </c>
      <c r="AF61" s="67">
        <v>1951.894</v>
      </c>
      <c r="AG61" s="67">
        <v>3257.1869999999999</v>
      </c>
      <c r="AH61" s="75"/>
    </row>
    <row r="62" spans="1:35" x14ac:dyDescent="0.25">
      <c r="L62" s="130"/>
    </row>
  </sheetData>
  <customSheetViews>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1"/>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3"/>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4"/>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5"/>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6"/>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7"/>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8"/>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9"/>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0"/>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1"/>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2"/>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3"/>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4"/>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5"/>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6"/>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7"/>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18"/>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19"/>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20"/>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1"/>
    </customSheetView>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22"/>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23"/>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24"/>
    </customSheetView>
    <customSheetView guid="{2940A182-D1A7-43C5-8D6E-965BED4371B0}" scale="50">
      <pane xSplit="6" ySplit="7" topLeftCell="G8" activePane="bottomRight" state="frozen"/>
      <selection pane="bottomRight" activeCell="A8" sqref="A8:XFD10"/>
      <pageMargins left="0.7" right="0.7" top="0.75" bottom="0.75" header="0.3" footer="0.3"/>
      <pageSetup paperSize="9" orientation="portrait" r:id="rId25"/>
    </customSheetView>
    <customSheetView guid="{A4AF2100-C59D-4F60-9EAB-56D9103463F7}" scale="75">
      <pane xSplit="6" ySplit="7" topLeftCell="G32" activePane="bottomRight" state="frozen"/>
      <selection pane="bottomRight" activeCell="F25" sqref="F25"/>
      <pageMargins left="0.7" right="0.7" top="0.75" bottom="0.75" header="0.3" footer="0.3"/>
      <pageSetup paperSize="9" orientation="portrait" r:id="rId26"/>
    </customSheetView>
    <customSheetView guid="{60A1F930-4BEC-460A-8E14-01E47F6DD055}" scale="80">
      <pane xSplit="6" ySplit="4" topLeftCell="AF38" activePane="bottomRight" state="frozen"/>
      <selection pane="bottomRight" activeCell="AH39" sqref="AH39"/>
      <pageMargins left="0.7" right="0.7" top="0.75" bottom="0.75" header="0.3" footer="0.3"/>
      <pageSetup paperSize="9" orientation="portrait" r:id="rId27"/>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28"/>
    </customSheetView>
  </customSheetViews>
  <mergeCells count="57">
    <mergeCell ref="A58:A59"/>
    <mergeCell ref="B58:B59"/>
    <mergeCell ref="A60:A61"/>
    <mergeCell ref="B60:B61"/>
    <mergeCell ref="B51:B52"/>
    <mergeCell ref="B53:AG53"/>
    <mergeCell ref="A54:A55"/>
    <mergeCell ref="B54:B55"/>
    <mergeCell ref="A56:A57"/>
    <mergeCell ref="B56:B57"/>
    <mergeCell ref="A44:A46"/>
    <mergeCell ref="B44:B46"/>
    <mergeCell ref="A47:A48"/>
    <mergeCell ref="B47:B48"/>
    <mergeCell ref="A49:A50"/>
    <mergeCell ref="B49:B50"/>
    <mergeCell ref="B28:AG28"/>
    <mergeCell ref="A14:A15"/>
    <mergeCell ref="B14:B15"/>
    <mergeCell ref="A16:A17"/>
    <mergeCell ref="B16:B17"/>
    <mergeCell ref="A18:A19"/>
    <mergeCell ref="B18:B19"/>
    <mergeCell ref="B20:AG20"/>
    <mergeCell ref="A21:A22"/>
    <mergeCell ref="B21:B22"/>
    <mergeCell ref="B23:AG23"/>
    <mergeCell ref="A24:A25"/>
    <mergeCell ref="B24:B2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zoomScale="25" zoomScaleNormal="50" zoomScaleSheetLayoutView="25" zoomScalePageLayoutView="20" workbookViewId="0">
      <selection activeCell="Z27" activeCellId="1" sqref="Q30 Z27"/>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A1" s="130"/>
      <c r="B1" s="130"/>
      <c r="C1" s="404"/>
      <c r="D1" s="392"/>
      <c r="E1" s="392"/>
      <c r="F1" s="392"/>
      <c r="G1" s="392"/>
      <c r="H1" s="392"/>
      <c r="I1" s="392"/>
      <c r="J1" s="393"/>
      <c r="K1" s="393"/>
      <c r="L1" s="393"/>
      <c r="M1" s="393"/>
      <c r="N1" s="393"/>
      <c r="O1" s="393"/>
      <c r="P1" s="393"/>
      <c r="Q1" s="393"/>
      <c r="R1" s="393"/>
      <c r="S1" s="393"/>
      <c r="T1" s="393"/>
      <c r="U1" s="393"/>
      <c r="V1" s="304"/>
      <c r="W1" s="304"/>
      <c r="X1" s="304"/>
      <c r="Y1" s="304"/>
      <c r="Z1" s="304"/>
      <c r="AA1" s="304"/>
      <c r="AB1" s="304"/>
      <c r="AC1" s="304"/>
      <c r="AD1" s="394"/>
      <c r="AE1" s="394"/>
      <c r="AF1" s="394"/>
      <c r="AG1" s="393"/>
      <c r="AH1" s="405"/>
    </row>
    <row r="2" spans="1:35" s="10" customFormat="1" ht="15.75" customHeight="1" x14ac:dyDescent="0.25">
      <c r="A2" s="145"/>
      <c r="B2" s="145"/>
      <c r="C2" s="545" t="s">
        <v>24</v>
      </c>
      <c r="D2" s="545"/>
      <c r="E2" s="545"/>
      <c r="F2" s="545"/>
      <c r="G2" s="545"/>
      <c r="H2" s="545"/>
      <c r="I2" s="545"/>
      <c r="J2" s="545"/>
      <c r="K2" s="545"/>
      <c r="L2" s="545"/>
      <c r="M2" s="545"/>
      <c r="N2" s="545"/>
      <c r="O2" s="545"/>
      <c r="P2" s="545"/>
      <c r="Q2" s="545"/>
      <c r="R2" s="545"/>
      <c r="S2" s="545"/>
      <c r="T2" s="146"/>
      <c r="U2" s="146"/>
      <c r="V2" s="146"/>
      <c r="W2" s="146"/>
      <c r="X2" s="146"/>
      <c r="Y2" s="146"/>
      <c r="Z2" s="146"/>
      <c r="AA2" s="146"/>
      <c r="AB2" s="146"/>
      <c r="AC2" s="146"/>
      <c r="AD2" s="146"/>
      <c r="AE2" s="146"/>
      <c r="AF2" s="146"/>
      <c r="AG2" s="146"/>
      <c r="AH2" s="146"/>
    </row>
    <row r="3" spans="1:35" s="10" customFormat="1" ht="36.75" customHeight="1" x14ac:dyDescent="0.25">
      <c r="A3" s="145"/>
      <c r="B3" s="408"/>
      <c r="C3" s="546" t="s">
        <v>366</v>
      </c>
      <c r="D3" s="546"/>
      <c r="E3" s="546"/>
      <c r="F3" s="546"/>
      <c r="G3" s="546"/>
      <c r="H3" s="546"/>
      <c r="I3" s="546"/>
      <c r="J3" s="546"/>
      <c r="K3" s="546"/>
      <c r="L3" s="546"/>
      <c r="M3" s="546"/>
      <c r="N3" s="546"/>
      <c r="O3" s="546"/>
      <c r="P3" s="546"/>
      <c r="Q3" s="546"/>
      <c r="R3" s="546"/>
      <c r="S3" s="546"/>
      <c r="T3" s="306"/>
      <c r="U3" s="306"/>
      <c r="V3" s="306"/>
      <c r="W3" s="306"/>
      <c r="X3" s="306"/>
      <c r="Y3" s="306"/>
      <c r="Z3" s="306"/>
      <c r="AA3" s="306"/>
      <c r="AB3" s="306"/>
      <c r="AC3" s="306"/>
      <c r="AD3" s="409"/>
      <c r="AE3" s="409"/>
      <c r="AF3" s="409"/>
      <c r="AG3" s="148" t="s">
        <v>0</v>
      </c>
      <c r="AH3" s="148"/>
    </row>
    <row r="4" spans="1:35" s="10" customFormat="1" ht="15" customHeight="1" x14ac:dyDescent="0.25">
      <c r="A4" s="547" t="s">
        <v>26</v>
      </c>
      <c r="B4" s="550" t="s">
        <v>29</v>
      </c>
      <c r="C4" s="550" t="s">
        <v>30</v>
      </c>
      <c r="D4" s="483" t="s">
        <v>1</v>
      </c>
      <c r="E4" s="483" t="s">
        <v>1</v>
      </c>
      <c r="F4" s="483" t="s">
        <v>2</v>
      </c>
      <c r="G4" s="483" t="s">
        <v>3</v>
      </c>
      <c r="H4" s="541" t="s">
        <v>4</v>
      </c>
      <c r="I4" s="542"/>
      <c r="J4" s="541" t="s">
        <v>5</v>
      </c>
      <c r="K4" s="542"/>
      <c r="L4" s="541" t="s">
        <v>6</v>
      </c>
      <c r="M4" s="542"/>
      <c r="N4" s="541" t="s">
        <v>7</v>
      </c>
      <c r="O4" s="542"/>
      <c r="P4" s="541" t="s">
        <v>8</v>
      </c>
      <c r="Q4" s="542"/>
      <c r="R4" s="541" t="s">
        <v>9</v>
      </c>
      <c r="S4" s="542"/>
      <c r="T4" s="541" t="s">
        <v>10</v>
      </c>
      <c r="U4" s="542"/>
      <c r="V4" s="541" t="s">
        <v>11</v>
      </c>
      <c r="W4" s="542"/>
      <c r="X4" s="541" t="s">
        <v>12</v>
      </c>
      <c r="Y4" s="542"/>
      <c r="Z4" s="541" t="s">
        <v>13</v>
      </c>
      <c r="AA4" s="542"/>
      <c r="AB4" s="541" t="s">
        <v>14</v>
      </c>
      <c r="AC4" s="542"/>
      <c r="AD4" s="541" t="s">
        <v>15</v>
      </c>
      <c r="AE4" s="542"/>
      <c r="AF4" s="541" t="s">
        <v>16</v>
      </c>
      <c r="AG4" s="542"/>
      <c r="AH4" s="465" t="s">
        <v>17</v>
      </c>
    </row>
    <row r="5" spans="1:35" s="10" customFormat="1" ht="39" customHeight="1" x14ac:dyDescent="0.25">
      <c r="A5" s="548"/>
      <c r="B5" s="551"/>
      <c r="C5" s="551"/>
      <c r="D5" s="620"/>
      <c r="E5" s="620"/>
      <c r="F5" s="620"/>
      <c r="G5" s="620"/>
      <c r="H5" s="543"/>
      <c r="I5" s="544"/>
      <c r="J5" s="543"/>
      <c r="K5" s="544"/>
      <c r="L5" s="543"/>
      <c r="M5" s="544"/>
      <c r="N5" s="543"/>
      <c r="O5" s="544"/>
      <c r="P5" s="543"/>
      <c r="Q5" s="544"/>
      <c r="R5" s="543"/>
      <c r="S5" s="544"/>
      <c r="T5" s="543"/>
      <c r="U5" s="544"/>
      <c r="V5" s="543"/>
      <c r="W5" s="544"/>
      <c r="X5" s="543"/>
      <c r="Y5" s="544"/>
      <c r="Z5" s="543"/>
      <c r="AA5" s="544"/>
      <c r="AB5" s="543"/>
      <c r="AC5" s="544"/>
      <c r="AD5" s="543"/>
      <c r="AE5" s="544"/>
      <c r="AF5" s="543"/>
      <c r="AG5" s="544"/>
      <c r="AH5" s="466"/>
    </row>
    <row r="6" spans="1:35" s="10" customFormat="1" ht="64.5" customHeight="1" x14ac:dyDescent="0.25">
      <c r="A6" s="549"/>
      <c r="B6" s="552"/>
      <c r="C6" s="552"/>
      <c r="D6" s="121" t="s">
        <v>371</v>
      </c>
      <c r="E6" s="273">
        <v>45992</v>
      </c>
      <c r="F6" s="273">
        <v>45992</v>
      </c>
      <c r="G6" s="273">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67"/>
    </row>
    <row r="7" spans="1:35" s="10"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1" customFormat="1" ht="31.5" customHeight="1" x14ac:dyDescent="0.25">
      <c r="A8" s="462"/>
      <c r="B8" s="465" t="s">
        <v>23</v>
      </c>
      <c r="C8" s="69" t="s">
        <v>20</v>
      </c>
      <c r="D8" s="70">
        <f>SUM(J8,L8,N8,P8,R8,T8,V8,X8,Z8,AB8,AD8,AF8)</f>
        <v>674338.87452999991</v>
      </c>
      <c r="E8" s="70">
        <f>E9+E10</f>
        <v>611976.07286000007</v>
      </c>
      <c r="F8" s="70">
        <f>F9+F10</f>
        <v>535319.06629999995</v>
      </c>
      <c r="G8" s="70">
        <f t="shared" ref="G8" si="0">G9+G10</f>
        <v>535319.06629999995</v>
      </c>
      <c r="H8" s="70">
        <f>IFERROR(G8/D8*100,0)</f>
        <v>79.384280888908592</v>
      </c>
      <c r="I8" s="70">
        <f>IFERROR(G8/E8*100,0)</f>
        <v>87.47385560325057</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47271.922169999991</v>
      </c>
      <c r="AC8" s="71">
        <f t="shared" si="1"/>
        <v>43410.432090000009</v>
      </c>
      <c r="AD8" s="71">
        <f t="shared" si="1"/>
        <v>52214.532680000004</v>
      </c>
      <c r="AE8" s="71">
        <f t="shared" si="1"/>
        <v>59878.937129999998</v>
      </c>
      <c r="AF8" s="71">
        <f t="shared" si="1"/>
        <v>62362.801670000001</v>
      </c>
      <c r="AG8" s="71">
        <f t="shared" si="1"/>
        <v>0</v>
      </c>
      <c r="AH8" s="343"/>
    </row>
    <row r="9" spans="1:35" s="22" customFormat="1" ht="38.25" customHeight="1" x14ac:dyDescent="0.25">
      <c r="A9" s="463"/>
      <c r="B9" s="466"/>
      <c r="C9" s="407" t="s">
        <v>21</v>
      </c>
      <c r="D9" s="74">
        <f>D13+D23+D28</f>
        <v>668419.17453000008</v>
      </c>
      <c r="E9" s="74">
        <f>E13+E23+E28</f>
        <v>606487.80086000008</v>
      </c>
      <c r="F9" s="74">
        <f>F13+F23+F28</f>
        <v>533030.49726999993</v>
      </c>
      <c r="G9" s="74">
        <f>G13+G23+G28</f>
        <v>533030.49726999993</v>
      </c>
      <c r="H9" s="74">
        <f t="shared" ref="H9:H10" si="2">IFERROR(G9/D9*100,0)</f>
        <v>79.744944128031804</v>
      </c>
      <c r="I9" s="74">
        <f t="shared" ref="I9:I10" si="3">IFERROR(G9/E9*100,0)</f>
        <v>87.888082252299611</v>
      </c>
      <c r="J9" s="74">
        <f>J13+J23+J28</f>
        <v>40853.848419999995</v>
      </c>
      <c r="K9" s="74">
        <f t="shared" ref="K9:AG9" si="4">K13+K23+K28</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46892.379169999993</v>
      </c>
      <c r="AC9" s="74">
        <f t="shared" si="4"/>
        <v>43139.808610000007</v>
      </c>
      <c r="AD9" s="74">
        <f t="shared" si="4"/>
        <v>51827.286680000005</v>
      </c>
      <c r="AE9" s="74">
        <f t="shared" si="4"/>
        <v>59729.178269999997</v>
      </c>
      <c r="AF9" s="74">
        <f t="shared" si="4"/>
        <v>61931.373670000001</v>
      </c>
      <c r="AG9" s="74">
        <f t="shared" si="4"/>
        <v>0</v>
      </c>
      <c r="AH9" s="75"/>
    </row>
    <row r="10" spans="1:35" s="22" customFormat="1" ht="38.25" customHeight="1" x14ac:dyDescent="0.25">
      <c r="A10" s="464"/>
      <c r="B10" s="467"/>
      <c r="C10" s="407" t="s">
        <v>40</v>
      </c>
      <c r="D10" s="74">
        <f t="shared" ref="D10" si="5">D14+D29</f>
        <v>5919.7</v>
      </c>
      <c r="E10" s="74">
        <f>E14+E29</f>
        <v>5488.2719999999999</v>
      </c>
      <c r="F10" s="74">
        <f t="shared" ref="F10:G10" si="6">F14+F29</f>
        <v>2288.5690299999997</v>
      </c>
      <c r="G10" s="74">
        <f t="shared" si="6"/>
        <v>2288.5690299999997</v>
      </c>
      <c r="H10" s="74">
        <f t="shared" si="2"/>
        <v>38.660219774650741</v>
      </c>
      <c r="I10" s="74">
        <f t="shared" si="3"/>
        <v>41.699263994204358</v>
      </c>
      <c r="J10" s="74">
        <f t="shared" ref="J10:AG10" si="7">J14+J29</f>
        <v>451.09100000000001</v>
      </c>
      <c r="K10" s="74">
        <f t="shared" si="7"/>
        <v>59.837299999999999</v>
      </c>
      <c r="L10" s="74">
        <f t="shared" si="7"/>
        <v>426.75599999999997</v>
      </c>
      <c r="M10" s="74">
        <f t="shared" si="7"/>
        <v>112.64922</v>
      </c>
      <c r="N10" s="74">
        <f t="shared" si="7"/>
        <v>569.71900000000005</v>
      </c>
      <c r="O10" s="74">
        <f t="shared" si="7"/>
        <v>181.76294999999999</v>
      </c>
      <c r="P10" s="74">
        <f t="shared" si="7"/>
        <v>503.77100000000002</v>
      </c>
      <c r="Q10" s="74">
        <f t="shared" si="7"/>
        <v>293.43322999999998</v>
      </c>
      <c r="R10" s="74">
        <f t="shared" si="7"/>
        <v>468.47300000000001</v>
      </c>
      <c r="S10" s="74">
        <f t="shared" si="7"/>
        <v>271.02265999999997</v>
      </c>
      <c r="T10" s="74">
        <f t="shared" si="7"/>
        <v>558.92499999999995</v>
      </c>
      <c r="U10" s="74">
        <f t="shared" si="7"/>
        <v>191.27968999999999</v>
      </c>
      <c r="V10" s="74">
        <f t="shared" si="7"/>
        <v>604.75099999999998</v>
      </c>
      <c r="W10" s="74">
        <f t="shared" si="7"/>
        <v>217.74019000000001</v>
      </c>
      <c r="X10" s="74">
        <f t="shared" si="7"/>
        <v>707.44600000000003</v>
      </c>
      <c r="Y10" s="74">
        <f t="shared" si="7"/>
        <v>219.64261999999999</v>
      </c>
      <c r="Z10" s="74">
        <f t="shared" si="7"/>
        <v>430.55099999999999</v>
      </c>
      <c r="AA10" s="74">
        <f t="shared" si="7"/>
        <v>320.81882999999999</v>
      </c>
      <c r="AB10" s="74">
        <f t="shared" si="7"/>
        <v>379.54300000000001</v>
      </c>
      <c r="AC10" s="74">
        <f t="shared" si="7"/>
        <v>270.62347999999997</v>
      </c>
      <c r="AD10" s="74">
        <f t="shared" si="7"/>
        <v>387.24599999999998</v>
      </c>
      <c r="AE10" s="74">
        <f t="shared" si="7"/>
        <v>149.75886</v>
      </c>
      <c r="AF10" s="74">
        <f t="shared" si="7"/>
        <v>431.428</v>
      </c>
      <c r="AG10" s="74">
        <f t="shared" si="7"/>
        <v>0</v>
      </c>
      <c r="AH10" s="75"/>
    </row>
    <row r="11" spans="1:35" s="26" customFormat="1" ht="18.75" customHeight="1" x14ac:dyDescent="0.25">
      <c r="A11" s="132" t="s">
        <v>151</v>
      </c>
      <c r="B11" s="502" t="s">
        <v>172</v>
      </c>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4"/>
      <c r="AH11" s="75"/>
    </row>
    <row r="12" spans="1:35" s="21" customFormat="1" ht="37.15" customHeight="1" x14ac:dyDescent="0.25">
      <c r="A12" s="462" t="s">
        <v>152</v>
      </c>
      <c r="B12" s="465" t="s">
        <v>173</v>
      </c>
      <c r="C12" s="69" t="s">
        <v>20</v>
      </c>
      <c r="D12" s="70">
        <f>D15+D18</f>
        <v>140792.54553</v>
      </c>
      <c r="E12" s="70">
        <f t="shared" ref="E12:G14" si="8">E15+E18</f>
        <v>124963.66712000003</v>
      </c>
      <c r="F12" s="70">
        <f t="shared" si="8"/>
        <v>113140.05483000002</v>
      </c>
      <c r="G12" s="70">
        <f t="shared" si="8"/>
        <v>113140.05483000002</v>
      </c>
      <c r="H12" s="70">
        <f>IFERROR(G12/D12*100,0)</f>
        <v>80.359407100777361</v>
      </c>
      <c r="I12" s="70">
        <f>IFERROR(G12/E12*100,0)</f>
        <v>90.538360018959722</v>
      </c>
      <c r="J12" s="70">
        <f>J15+J18</f>
        <v>7704.9942799999999</v>
      </c>
      <c r="K12" s="70">
        <f t="shared" ref="K12:AG12" si="9">K15+K18</f>
        <v>2702.3260300000002</v>
      </c>
      <c r="L12" s="70">
        <f t="shared" si="9"/>
        <v>7427.2585199999994</v>
      </c>
      <c r="M12" s="70">
        <f t="shared" si="9"/>
        <v>3148.54765</v>
      </c>
      <c r="N12" s="70">
        <f t="shared" si="9"/>
        <v>12870.968129999999</v>
      </c>
      <c r="O12" s="70">
        <f t="shared" si="9"/>
        <v>16027.70062</v>
      </c>
      <c r="P12" s="70">
        <f t="shared" si="9"/>
        <v>26786.688270000002</v>
      </c>
      <c r="Q12" s="70">
        <f t="shared" si="9"/>
        <v>25207.132799999999</v>
      </c>
      <c r="R12" s="70">
        <f t="shared" si="9"/>
        <v>8613.5007800000003</v>
      </c>
      <c r="S12" s="70">
        <f t="shared" si="9"/>
        <v>9209.6076799999992</v>
      </c>
      <c r="T12" s="70">
        <f t="shared" si="9"/>
        <v>9486.5695699999997</v>
      </c>
      <c r="U12" s="70">
        <f t="shared" si="9"/>
        <v>7751.2729600000002</v>
      </c>
      <c r="V12" s="70">
        <f t="shared" si="9"/>
        <v>13797.68779</v>
      </c>
      <c r="W12" s="70">
        <f t="shared" si="9"/>
        <v>14432.30301</v>
      </c>
      <c r="X12" s="70">
        <f t="shared" si="9"/>
        <v>1811.30519</v>
      </c>
      <c r="Y12" s="70">
        <f t="shared" si="9"/>
        <v>1645.7083700000001</v>
      </c>
      <c r="Z12" s="70">
        <f t="shared" si="9"/>
        <v>14250.86377</v>
      </c>
      <c r="AA12" s="70">
        <f t="shared" si="9"/>
        <v>9835.9041199999992</v>
      </c>
      <c r="AB12" s="70">
        <f t="shared" si="9"/>
        <v>6733.0349100000003</v>
      </c>
      <c r="AC12" s="70">
        <f t="shared" si="9"/>
        <v>6231.1571899999999</v>
      </c>
      <c r="AD12" s="70">
        <f t="shared" si="9"/>
        <v>15480.795910000001</v>
      </c>
      <c r="AE12" s="70">
        <f t="shared" si="9"/>
        <v>16948.394400000001</v>
      </c>
      <c r="AF12" s="70">
        <f t="shared" si="9"/>
        <v>15828.878409999999</v>
      </c>
      <c r="AG12" s="70">
        <f t="shared" si="9"/>
        <v>0</v>
      </c>
      <c r="AH12" s="619"/>
      <c r="AI12" s="23"/>
    </row>
    <row r="13" spans="1:35" s="21" customFormat="1" ht="36.75" customHeight="1" x14ac:dyDescent="0.25">
      <c r="A13" s="463"/>
      <c r="B13" s="466"/>
      <c r="C13" s="407" t="s">
        <v>21</v>
      </c>
      <c r="D13" s="70">
        <f>D16+D19</f>
        <v>140792.54553</v>
      </c>
      <c r="E13" s="70">
        <f t="shared" si="8"/>
        <v>124963.66712000003</v>
      </c>
      <c r="F13" s="70">
        <f t="shared" si="8"/>
        <v>113140.05483000002</v>
      </c>
      <c r="G13" s="70">
        <f t="shared" si="8"/>
        <v>113140.05483000002</v>
      </c>
      <c r="H13" s="70">
        <f>IFERROR(G13/D13*100,0)</f>
        <v>80.359407100777361</v>
      </c>
      <c r="I13" s="70">
        <f t="shared" ref="I13:I20" si="10">IFERROR(G13/E13*100,0)</f>
        <v>90.538360018959722</v>
      </c>
      <c r="J13" s="70">
        <f t="shared" ref="J13:AG14" si="11">J16+J19</f>
        <v>7704.9942799999999</v>
      </c>
      <c r="K13" s="70">
        <f t="shared" si="11"/>
        <v>2702.3260300000002</v>
      </c>
      <c r="L13" s="70">
        <f t="shared" si="11"/>
        <v>7427.2585199999994</v>
      </c>
      <c r="M13" s="70">
        <f t="shared" si="11"/>
        <v>3148.54765</v>
      </c>
      <c r="N13" s="70">
        <f t="shared" si="11"/>
        <v>12870.968129999999</v>
      </c>
      <c r="O13" s="70">
        <f t="shared" si="11"/>
        <v>16027.70062</v>
      </c>
      <c r="P13" s="70">
        <f t="shared" si="11"/>
        <v>26786.688270000002</v>
      </c>
      <c r="Q13" s="70">
        <f t="shared" si="11"/>
        <v>25207.132799999999</v>
      </c>
      <c r="R13" s="70">
        <f t="shared" si="11"/>
        <v>8613.5007800000003</v>
      </c>
      <c r="S13" s="70">
        <f t="shared" si="11"/>
        <v>9209.6076799999992</v>
      </c>
      <c r="T13" s="70">
        <f t="shared" si="11"/>
        <v>9486.5695699999997</v>
      </c>
      <c r="U13" s="70">
        <f t="shared" si="11"/>
        <v>7751.2729600000002</v>
      </c>
      <c r="V13" s="70">
        <f t="shared" si="11"/>
        <v>13797.68779</v>
      </c>
      <c r="W13" s="70">
        <f t="shared" si="11"/>
        <v>14432.30301</v>
      </c>
      <c r="X13" s="70">
        <f t="shared" si="11"/>
        <v>1811.30519</v>
      </c>
      <c r="Y13" s="70">
        <f t="shared" si="11"/>
        <v>1645.7083700000001</v>
      </c>
      <c r="Z13" s="70">
        <f t="shared" si="11"/>
        <v>14250.86377</v>
      </c>
      <c r="AA13" s="70">
        <f t="shared" si="11"/>
        <v>9835.9041199999992</v>
      </c>
      <c r="AB13" s="70">
        <f t="shared" si="11"/>
        <v>6733.0349100000003</v>
      </c>
      <c r="AC13" s="70">
        <f t="shared" si="11"/>
        <v>6231.1571899999999</v>
      </c>
      <c r="AD13" s="70">
        <f t="shared" si="11"/>
        <v>15480.795910000001</v>
      </c>
      <c r="AE13" s="70">
        <f t="shared" si="11"/>
        <v>16948.394400000001</v>
      </c>
      <c r="AF13" s="70">
        <f t="shared" si="11"/>
        <v>15828.878409999999</v>
      </c>
      <c r="AG13" s="70">
        <f t="shared" si="11"/>
        <v>0</v>
      </c>
      <c r="AH13" s="619"/>
      <c r="AI13" s="23"/>
    </row>
    <row r="14" spans="1:35" s="21" customFormat="1" ht="42.75" customHeight="1" x14ac:dyDescent="0.25">
      <c r="A14" s="464"/>
      <c r="B14" s="467"/>
      <c r="C14" s="407" t="s">
        <v>40</v>
      </c>
      <c r="D14" s="70">
        <f>D17+D20</f>
        <v>0</v>
      </c>
      <c r="E14" s="70">
        <f t="shared" si="8"/>
        <v>0</v>
      </c>
      <c r="F14" s="70">
        <f t="shared" si="8"/>
        <v>0</v>
      </c>
      <c r="G14" s="70">
        <f t="shared" si="8"/>
        <v>0</v>
      </c>
      <c r="H14" s="70">
        <f t="shared" ref="H14:H20" si="12">IFERROR(G14/D14*100,0)</f>
        <v>0</v>
      </c>
      <c r="I14" s="70">
        <f t="shared" si="10"/>
        <v>0</v>
      </c>
      <c r="J14" s="70">
        <f t="shared" si="11"/>
        <v>0</v>
      </c>
      <c r="K14" s="70">
        <f t="shared" si="11"/>
        <v>0</v>
      </c>
      <c r="L14" s="70">
        <f t="shared" si="11"/>
        <v>0</v>
      </c>
      <c r="M14" s="70">
        <f t="shared" si="11"/>
        <v>0</v>
      </c>
      <c r="N14" s="70">
        <f t="shared" si="11"/>
        <v>0</v>
      </c>
      <c r="O14" s="70">
        <f t="shared" si="11"/>
        <v>0</v>
      </c>
      <c r="P14" s="70">
        <f t="shared" si="11"/>
        <v>0</v>
      </c>
      <c r="Q14" s="70">
        <f t="shared" si="11"/>
        <v>0</v>
      </c>
      <c r="R14" s="70">
        <f t="shared" si="11"/>
        <v>0</v>
      </c>
      <c r="S14" s="70">
        <f t="shared" si="11"/>
        <v>0</v>
      </c>
      <c r="T14" s="70">
        <f t="shared" si="11"/>
        <v>0</v>
      </c>
      <c r="U14" s="70">
        <f t="shared" si="11"/>
        <v>0</v>
      </c>
      <c r="V14" s="70">
        <f t="shared" si="11"/>
        <v>0</v>
      </c>
      <c r="W14" s="70">
        <f t="shared" si="11"/>
        <v>0</v>
      </c>
      <c r="X14" s="70">
        <f t="shared" si="11"/>
        <v>0</v>
      </c>
      <c r="Y14" s="70">
        <f t="shared" si="11"/>
        <v>0</v>
      </c>
      <c r="Z14" s="70">
        <f t="shared" si="11"/>
        <v>0</v>
      </c>
      <c r="AA14" s="70">
        <f t="shared" si="11"/>
        <v>0</v>
      </c>
      <c r="AB14" s="70">
        <f t="shared" si="11"/>
        <v>0</v>
      </c>
      <c r="AC14" s="70">
        <f t="shared" si="11"/>
        <v>0</v>
      </c>
      <c r="AD14" s="70">
        <f t="shared" si="11"/>
        <v>0</v>
      </c>
      <c r="AE14" s="70">
        <f t="shared" si="11"/>
        <v>0</v>
      </c>
      <c r="AF14" s="70">
        <f t="shared" si="11"/>
        <v>0</v>
      </c>
      <c r="AG14" s="70">
        <f t="shared" si="11"/>
        <v>0</v>
      </c>
      <c r="AH14" s="619"/>
      <c r="AI14" s="23"/>
    </row>
    <row r="15" spans="1:35" s="21" customFormat="1" ht="31.15" customHeight="1" x14ac:dyDescent="0.25">
      <c r="A15" s="612" t="s">
        <v>276</v>
      </c>
      <c r="B15" s="597" t="s">
        <v>338</v>
      </c>
      <c r="C15" s="343" t="s">
        <v>20</v>
      </c>
      <c r="D15" s="70">
        <f>D16+D17</f>
        <v>61166.5</v>
      </c>
      <c r="E15" s="70">
        <f>E16+E17</f>
        <v>50710.514510000001</v>
      </c>
      <c r="F15" s="70">
        <f>F16+F17</f>
        <v>41963.820220000009</v>
      </c>
      <c r="G15" s="70">
        <f>G16+G17</f>
        <v>41963.820220000009</v>
      </c>
      <c r="H15" s="70">
        <f t="shared" si="12"/>
        <v>68.605887569175948</v>
      </c>
      <c r="I15" s="70">
        <f t="shared" si="10"/>
        <v>82.751714561533063</v>
      </c>
      <c r="J15" s="71">
        <f>J16</f>
        <v>7704.9942799999999</v>
      </c>
      <c r="K15" s="71">
        <f t="shared" ref="K15:AG15" si="13">K16</f>
        <v>2702.3260300000002</v>
      </c>
      <c r="L15" s="71">
        <f t="shared" si="13"/>
        <v>3963.0816</v>
      </c>
      <c r="M15" s="71">
        <f t="shared" si="13"/>
        <v>3148.54765</v>
      </c>
      <c r="N15" s="71">
        <f t="shared" si="13"/>
        <v>2870.9686999999999</v>
      </c>
      <c r="O15" s="71">
        <f t="shared" si="13"/>
        <v>2848.6242699999998</v>
      </c>
      <c r="P15" s="71">
        <f t="shared" si="13"/>
        <v>5511.61258</v>
      </c>
      <c r="Q15" s="71">
        <f t="shared" si="13"/>
        <v>3646.99019</v>
      </c>
      <c r="R15" s="71">
        <f t="shared" si="13"/>
        <v>2506.34996</v>
      </c>
      <c r="S15" s="71">
        <f t="shared" si="13"/>
        <v>3102.4574299999999</v>
      </c>
      <c r="T15" s="71">
        <f t="shared" si="13"/>
        <v>1974.95163</v>
      </c>
      <c r="U15" s="71">
        <f t="shared" si="13"/>
        <v>2283.8613399999999</v>
      </c>
      <c r="V15" s="71">
        <f t="shared" si="13"/>
        <v>4344.1199500000002</v>
      </c>
      <c r="W15" s="71">
        <f t="shared" si="13"/>
        <v>3019.6281399999998</v>
      </c>
      <c r="X15" s="71">
        <f t="shared" si="13"/>
        <v>1791.45658</v>
      </c>
      <c r="Y15" s="71">
        <f t="shared" si="13"/>
        <v>1645.7083700000001</v>
      </c>
      <c r="Z15" s="71">
        <f t="shared" si="13"/>
        <v>2074.4566</v>
      </c>
      <c r="AA15" s="71">
        <f t="shared" si="13"/>
        <v>1736.24856</v>
      </c>
      <c r="AB15" s="71">
        <f t="shared" si="13"/>
        <v>5126.8289599999998</v>
      </c>
      <c r="AC15" s="71">
        <f t="shared" si="13"/>
        <v>4461.9089400000003</v>
      </c>
      <c r="AD15" s="71">
        <f t="shared" si="13"/>
        <v>12841.693670000001</v>
      </c>
      <c r="AE15" s="71">
        <f t="shared" si="13"/>
        <v>13367.5193</v>
      </c>
      <c r="AF15" s="71">
        <f t="shared" si="13"/>
        <v>10455.985489999999</v>
      </c>
      <c r="AG15" s="71">
        <f t="shared" si="13"/>
        <v>0</v>
      </c>
      <c r="AH15" s="615" t="s">
        <v>367</v>
      </c>
      <c r="AI15" s="23"/>
    </row>
    <row r="16" spans="1:35" s="21" customFormat="1" ht="36.75" customHeight="1" x14ac:dyDescent="0.25">
      <c r="A16" s="613"/>
      <c r="B16" s="606"/>
      <c r="C16" s="112" t="s">
        <v>21</v>
      </c>
      <c r="D16" s="74">
        <f>SUM(J16,L16,N16,P16,R16,T16,V16,X16,Z16,AB16,AD16,AF16)</f>
        <v>61166.5</v>
      </c>
      <c r="E16" s="74">
        <f>J16+L16+N16+P16+R16+T16+V16+X16+Z16+AB16+AD16</f>
        <v>50710.514510000001</v>
      </c>
      <c r="F16" s="74">
        <f>G16</f>
        <v>41963.820220000009</v>
      </c>
      <c r="G16" s="74">
        <f>SUM(K16,M16,O16,Q16,S16,U16,W16,Y16,AA16,AC16,AE16,AG16)</f>
        <v>41963.820220000009</v>
      </c>
      <c r="H16" s="74">
        <f t="shared" si="12"/>
        <v>68.605887569175948</v>
      </c>
      <c r="I16" s="74">
        <f t="shared" si="10"/>
        <v>82.751714561533063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4461.9089400000003</v>
      </c>
      <c r="AD16" s="67">
        <v>12841.693670000001</v>
      </c>
      <c r="AE16" s="67">
        <v>13367.5193</v>
      </c>
      <c r="AF16" s="67">
        <v>10455.985489999999</v>
      </c>
      <c r="AG16" s="67">
        <v>0</v>
      </c>
      <c r="AH16" s="615"/>
      <c r="AI16" s="23"/>
    </row>
    <row r="17" spans="1:35" s="21" customFormat="1" ht="36.75" customHeight="1" x14ac:dyDescent="0.25">
      <c r="A17" s="614"/>
      <c r="B17" s="598"/>
      <c r="C17" s="407" t="s">
        <v>40</v>
      </c>
      <c r="D17" s="74">
        <f>SUM(J17,L17,N17,P17,R17,T17,V17,X17,Z17,AB17,AD17,AF17)</f>
        <v>0</v>
      </c>
      <c r="E17" s="74">
        <f>J17+L17+N17+P17+R17+T17+V17+X17+Z17+AB17+AD17</f>
        <v>0</v>
      </c>
      <c r="F17" s="74">
        <f>G17</f>
        <v>0</v>
      </c>
      <c r="G17" s="74">
        <f>SUM(K17,M17,O17,Q17,S17,U17,W17,Y17,AA17,AC17,AE17,AG17)</f>
        <v>0</v>
      </c>
      <c r="H17" s="74">
        <f t="shared" si="12"/>
        <v>0</v>
      </c>
      <c r="I17" s="74">
        <f t="shared" si="10"/>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15"/>
      <c r="AI17" s="23"/>
    </row>
    <row r="18" spans="1:35" s="100" customFormat="1" ht="409.5" customHeight="1" x14ac:dyDescent="0.25">
      <c r="A18" s="616" t="s">
        <v>339</v>
      </c>
      <c r="B18" s="597" t="s">
        <v>340</v>
      </c>
      <c r="C18" s="69" t="s">
        <v>20</v>
      </c>
      <c r="D18" s="70">
        <f>D19+D20</f>
        <v>79626.045530000018</v>
      </c>
      <c r="E18" s="70">
        <f>E19+E20</f>
        <v>74253.152610000019</v>
      </c>
      <c r="F18" s="70">
        <f>F19+F20</f>
        <v>71176.234610000014</v>
      </c>
      <c r="G18" s="70">
        <f>G19+G20</f>
        <v>71176.234610000014</v>
      </c>
      <c r="H18" s="70">
        <f t="shared" si="12"/>
        <v>89.388131906140629</v>
      </c>
      <c r="I18" s="70">
        <f t="shared" si="10"/>
        <v>95.856178637746325</v>
      </c>
      <c r="J18" s="71">
        <f>J19+J20</f>
        <v>0</v>
      </c>
      <c r="K18" s="71">
        <f t="shared" ref="K18:AG18" si="14">K19+K20</f>
        <v>0</v>
      </c>
      <c r="L18" s="71">
        <f t="shared" si="14"/>
        <v>3464.1769199999999</v>
      </c>
      <c r="M18" s="71">
        <f t="shared" si="14"/>
        <v>0</v>
      </c>
      <c r="N18" s="71">
        <f t="shared" si="14"/>
        <v>9999.9994299999998</v>
      </c>
      <c r="O18" s="71">
        <f t="shared" si="14"/>
        <v>13179.076349999999</v>
      </c>
      <c r="P18" s="71">
        <f t="shared" si="14"/>
        <v>21275.075690000001</v>
      </c>
      <c r="Q18" s="71">
        <f t="shared" si="14"/>
        <v>21560.142609999999</v>
      </c>
      <c r="R18" s="71">
        <f t="shared" si="14"/>
        <v>6107.1508199999998</v>
      </c>
      <c r="S18" s="71">
        <f t="shared" si="14"/>
        <v>6107.1502499999997</v>
      </c>
      <c r="T18" s="71">
        <f t="shared" si="14"/>
        <v>7511.6179400000001</v>
      </c>
      <c r="U18" s="71">
        <f t="shared" si="14"/>
        <v>5467.4116199999999</v>
      </c>
      <c r="V18" s="71">
        <f t="shared" si="14"/>
        <v>9453.5678399999997</v>
      </c>
      <c r="W18" s="71">
        <f t="shared" si="14"/>
        <v>11412.674870000001</v>
      </c>
      <c r="X18" s="71">
        <f t="shared" si="14"/>
        <v>19.848610000000001</v>
      </c>
      <c r="Y18" s="71">
        <f t="shared" si="14"/>
        <v>0</v>
      </c>
      <c r="Z18" s="71">
        <f t="shared" si="14"/>
        <v>12176.40717</v>
      </c>
      <c r="AA18" s="71">
        <f t="shared" si="14"/>
        <v>8099.6555600000002</v>
      </c>
      <c r="AB18" s="71">
        <f t="shared" si="14"/>
        <v>1606.20595</v>
      </c>
      <c r="AC18" s="71">
        <f t="shared" si="14"/>
        <v>1769.2482500000001</v>
      </c>
      <c r="AD18" s="71">
        <f t="shared" si="14"/>
        <v>2639.1022400000002</v>
      </c>
      <c r="AE18" s="71">
        <f t="shared" si="14"/>
        <v>3580.8751000000002</v>
      </c>
      <c r="AF18" s="71">
        <f t="shared" si="14"/>
        <v>5372.8929200000002</v>
      </c>
      <c r="AG18" s="71">
        <f t="shared" si="14"/>
        <v>0</v>
      </c>
      <c r="AH18" s="599" t="s">
        <v>441</v>
      </c>
      <c r="AI18" s="308"/>
    </row>
    <row r="19" spans="1:35" s="33" customFormat="1" ht="357.75" customHeight="1" x14ac:dyDescent="0.25">
      <c r="A19" s="617"/>
      <c r="B19" s="606"/>
      <c r="C19" s="407" t="s">
        <v>21</v>
      </c>
      <c r="D19" s="74">
        <f>SUM(J19,L19,N19,P19,R19,T19,V19,X19,Z19,AB19,AD19,AF19)</f>
        <v>79626.045530000018</v>
      </c>
      <c r="E19" s="74">
        <f>J19+L19+N19+P19+R19+T19+V19+X19+Z19+AB19+AD19</f>
        <v>74253.152610000019</v>
      </c>
      <c r="F19" s="74">
        <f>G19</f>
        <v>71176.234610000014</v>
      </c>
      <c r="G19" s="74">
        <f>SUM(K19,M19,O19,Q19,S19,U19,W19,Y19,AA19,AC19,AE19,AG19)</f>
        <v>71176.234610000014</v>
      </c>
      <c r="H19" s="74">
        <f t="shared" si="12"/>
        <v>89.388131906140629</v>
      </c>
      <c r="I19" s="74">
        <f t="shared" si="10"/>
        <v>95.856178637746325</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1606.20595</v>
      </c>
      <c r="AC19" s="67">
        <v>1769.2482500000001</v>
      </c>
      <c r="AD19" s="67">
        <v>2639.1022400000002</v>
      </c>
      <c r="AE19" s="67">
        <v>3580.8751000000002</v>
      </c>
      <c r="AF19" s="67">
        <v>5372.8929200000002</v>
      </c>
      <c r="AG19" s="67">
        <v>0</v>
      </c>
      <c r="AH19" s="609"/>
      <c r="AI19" s="308"/>
    </row>
    <row r="20" spans="1:35" s="33" customFormat="1" ht="260.25" customHeight="1" x14ac:dyDescent="0.25">
      <c r="A20" s="618"/>
      <c r="B20" s="598"/>
      <c r="C20" s="407" t="s">
        <v>40</v>
      </c>
      <c r="D20" s="74">
        <f>SUM(J20,L20,N20,P20,R20,T20,V20,X20,Z20,AB20,AD20,AF20)</f>
        <v>0</v>
      </c>
      <c r="E20" s="74">
        <f>J20+L20+N20+P20+R20+T20+V20+X20+Z20+AB20+AD20</f>
        <v>0</v>
      </c>
      <c r="F20" s="74">
        <f>G20</f>
        <v>0</v>
      </c>
      <c r="G20" s="74">
        <f>SUM(K20,M20,O20,Q20,S20,U20,W20,Y20,AA20,AC20,AE20,AG20)</f>
        <v>0</v>
      </c>
      <c r="H20" s="74">
        <f t="shared" si="12"/>
        <v>0</v>
      </c>
      <c r="I20" s="74">
        <f t="shared" si="10"/>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600"/>
      <c r="AI20" s="308"/>
    </row>
    <row r="21" spans="1:35" s="134" customFormat="1" ht="21" customHeight="1" x14ac:dyDescent="0.25">
      <c r="A21" s="132" t="s">
        <v>153</v>
      </c>
      <c r="B21" s="502" t="s">
        <v>32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4"/>
      <c r="AH21" s="43"/>
      <c r="AI21" s="133"/>
    </row>
    <row r="22" spans="1:35" s="21" customFormat="1" ht="57.75" customHeight="1" x14ac:dyDescent="0.25">
      <c r="A22" s="462" t="s">
        <v>38</v>
      </c>
      <c r="B22" s="465" t="s">
        <v>34</v>
      </c>
      <c r="C22" s="69" t="s">
        <v>20</v>
      </c>
      <c r="D22" s="70">
        <f>D24</f>
        <v>42301.724999999991</v>
      </c>
      <c r="E22" s="70">
        <f t="shared" ref="E22:G23" si="15">E24</f>
        <v>39202.17912999999</v>
      </c>
      <c r="F22" s="70">
        <f t="shared" si="15"/>
        <v>37238.494899999998</v>
      </c>
      <c r="G22" s="70">
        <f t="shared" si="15"/>
        <v>37238.494899999998</v>
      </c>
      <c r="H22" s="70">
        <f>IFERROR(G22/D22*100,0)</f>
        <v>88.030676999578645</v>
      </c>
      <c r="I22" s="70">
        <f>IFERROR(G22/E22*100,0)</f>
        <v>94.990879911322949</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3152.6200699999999</v>
      </c>
      <c r="AD22" s="70">
        <f t="shared" si="16"/>
        <v>3116.44128</v>
      </c>
      <c r="AE22" s="70">
        <f t="shared" si="16"/>
        <v>3381.9810499999999</v>
      </c>
      <c r="AF22" s="70">
        <f t="shared" si="16"/>
        <v>3099.5458699999999</v>
      </c>
      <c r="AG22" s="70">
        <f t="shared" si="16"/>
        <v>0</v>
      </c>
      <c r="AH22" s="599" t="s">
        <v>442</v>
      </c>
      <c r="AI22" s="20"/>
    </row>
    <row r="23" spans="1:35" s="22" customFormat="1" ht="44.25" customHeight="1" x14ac:dyDescent="0.25">
      <c r="A23" s="464"/>
      <c r="B23" s="467"/>
      <c r="C23" s="407" t="s">
        <v>21</v>
      </c>
      <c r="D23" s="74">
        <f>D25</f>
        <v>42301.724999999991</v>
      </c>
      <c r="E23" s="74">
        <f t="shared" si="15"/>
        <v>39202.17912999999</v>
      </c>
      <c r="F23" s="74">
        <f t="shared" si="15"/>
        <v>37238.494899999998</v>
      </c>
      <c r="G23" s="74">
        <f t="shared" si="15"/>
        <v>37238.494899999998</v>
      </c>
      <c r="H23" s="74">
        <f t="shared" ref="H23:H25" si="17">IFERROR(G23/D23*100,0)</f>
        <v>88.030676999578645</v>
      </c>
      <c r="I23" s="74">
        <f t="shared" ref="I23:I25" si="18">IFERROR(G23/E23*100,0)</f>
        <v>94.990879911322949</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3152.6200699999999</v>
      </c>
      <c r="AD23" s="74">
        <f t="shared" si="16"/>
        <v>3116.44128</v>
      </c>
      <c r="AE23" s="74">
        <f t="shared" si="16"/>
        <v>3381.9810499999999</v>
      </c>
      <c r="AF23" s="74">
        <f t="shared" si="16"/>
        <v>3099.5458699999999</v>
      </c>
      <c r="AG23" s="74">
        <f t="shared" si="16"/>
        <v>0</v>
      </c>
      <c r="AH23" s="609"/>
      <c r="AI23" s="20"/>
    </row>
    <row r="24" spans="1:35" s="100" customFormat="1" ht="34.5" customHeight="1" x14ac:dyDescent="0.25">
      <c r="A24" s="595"/>
      <c r="B24" s="610" t="s">
        <v>174</v>
      </c>
      <c r="C24" s="69" t="s">
        <v>20</v>
      </c>
      <c r="D24" s="70">
        <f>D25</f>
        <v>42301.724999999991</v>
      </c>
      <c r="E24" s="70">
        <f>E25</f>
        <v>39202.17912999999</v>
      </c>
      <c r="F24" s="70">
        <f>F25</f>
        <v>37238.494899999998</v>
      </c>
      <c r="G24" s="70">
        <f>G25</f>
        <v>37238.494899999998</v>
      </c>
      <c r="H24" s="70">
        <f t="shared" si="17"/>
        <v>88.030676999578645</v>
      </c>
      <c r="I24" s="70">
        <f t="shared" si="18"/>
        <v>94.990879911322949</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3152.6200699999999</v>
      </c>
      <c r="AD24" s="71">
        <f t="shared" si="19"/>
        <v>3116.44128</v>
      </c>
      <c r="AE24" s="71">
        <f t="shared" si="19"/>
        <v>3381.9810499999999</v>
      </c>
      <c r="AF24" s="71">
        <f t="shared" si="19"/>
        <v>3099.5458699999999</v>
      </c>
      <c r="AG24" s="71">
        <f t="shared" si="19"/>
        <v>0</v>
      </c>
      <c r="AH24" s="609"/>
      <c r="AI24" s="106"/>
    </row>
    <row r="25" spans="1:35" s="33" customFormat="1" ht="43.5" customHeight="1" x14ac:dyDescent="0.25">
      <c r="A25" s="596"/>
      <c r="B25" s="611"/>
      <c r="C25" s="407" t="s">
        <v>21</v>
      </c>
      <c r="D25" s="74">
        <f>SUM(J25,L25,N25,P25,R25,T25,V25,X25,Z25,AB25,AD25,AF25)</f>
        <v>42301.724999999991</v>
      </c>
      <c r="E25" s="74">
        <f>J25+L25+N25+P25+R25+T25+V25+X25+Z25+AB25+AD25</f>
        <v>39202.17912999999</v>
      </c>
      <c r="F25" s="74">
        <f>G25</f>
        <v>37238.494899999998</v>
      </c>
      <c r="G25" s="74">
        <f>SUM(K25,M25,O25,Q25,S25,U25,W25,Y25,AA25,AC25,AE25,AG25)</f>
        <v>37238.494899999998</v>
      </c>
      <c r="H25" s="74">
        <f t="shared" si="17"/>
        <v>88.030676999578645</v>
      </c>
      <c r="I25" s="74">
        <f t="shared" si="18"/>
        <v>94.990879911322949</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3152.6200699999999</v>
      </c>
      <c r="AD25" s="67">
        <v>3116.44128</v>
      </c>
      <c r="AE25" s="67">
        <v>3381.9810499999999</v>
      </c>
      <c r="AF25" s="158">
        <v>3099.5458699999999</v>
      </c>
      <c r="AG25" s="67">
        <v>0</v>
      </c>
      <c r="AH25" s="600"/>
      <c r="AI25" s="106"/>
    </row>
    <row r="26" spans="1:35" s="32" customFormat="1" ht="15.75" customHeight="1" x14ac:dyDescent="0.25">
      <c r="A26" s="135" t="s">
        <v>156</v>
      </c>
      <c r="B26" s="502" t="s">
        <v>32</v>
      </c>
      <c r="C26" s="503"/>
      <c r="D26" s="503"/>
      <c r="E26" s="503"/>
      <c r="F26" s="503"/>
      <c r="G26" s="503"/>
      <c r="H26" s="503"/>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4"/>
    </row>
    <row r="27" spans="1:35" s="21" customFormat="1" ht="53.25" customHeight="1" x14ac:dyDescent="0.25">
      <c r="A27" s="462" t="s">
        <v>157</v>
      </c>
      <c r="B27" s="465" t="s">
        <v>175</v>
      </c>
      <c r="C27" s="69" t="s">
        <v>20</v>
      </c>
      <c r="D27" s="70">
        <f>D28+D29</f>
        <v>491244.60400000011</v>
      </c>
      <c r="E27" s="70">
        <f t="shared" ref="E27:G27" si="20">E28+E29</f>
        <v>447810.22661000001</v>
      </c>
      <c r="F27" s="70">
        <f t="shared" si="20"/>
        <v>384940.51656999998</v>
      </c>
      <c r="G27" s="70">
        <f t="shared" si="20"/>
        <v>384940.51656999998</v>
      </c>
      <c r="H27" s="70">
        <f t="shared" ref="H27:H39" si="21">IFERROR(G27/D27*100,0)</f>
        <v>78.360253412574863</v>
      </c>
      <c r="I27" s="70">
        <f t="shared" ref="I27:I39" si="22">IFERROR(G27/E27*100,0)</f>
        <v>85.960635487060117</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37461.212989999993</v>
      </c>
      <c r="AC27" s="71">
        <f t="shared" si="23"/>
        <v>33756.031350000005</v>
      </c>
      <c r="AD27" s="71">
        <f t="shared" si="23"/>
        <v>33230.049490000005</v>
      </c>
      <c r="AE27" s="71">
        <f t="shared" si="23"/>
        <v>39398.802819999997</v>
      </c>
      <c r="AF27" s="71">
        <f t="shared" si="23"/>
        <v>43002.949390000002</v>
      </c>
      <c r="AG27" s="71">
        <f t="shared" si="23"/>
        <v>0</v>
      </c>
      <c r="AH27" s="343"/>
      <c r="AI27" s="20"/>
    </row>
    <row r="28" spans="1:35" s="22" customFormat="1" ht="45" customHeight="1" x14ac:dyDescent="0.25">
      <c r="A28" s="463"/>
      <c r="B28" s="466"/>
      <c r="C28" s="407" t="s">
        <v>21</v>
      </c>
      <c r="D28" s="74">
        <f t="shared" ref="D28:D29" si="24">SUM(J28,L28,N28,P28,R28,T28,V28,X28,Z28,AB28,AD28,AF28)</f>
        <v>485324.9040000001</v>
      </c>
      <c r="E28" s="74">
        <f>E31+E33+E37+E39</f>
        <v>442321.95461000002</v>
      </c>
      <c r="F28" s="74">
        <f t="shared" ref="F28:AG28" si="25">F31+F33+F37+F39</f>
        <v>382651.94753999996</v>
      </c>
      <c r="G28" s="74">
        <f t="shared" si="25"/>
        <v>382651.94753999996</v>
      </c>
      <c r="H28" s="74">
        <f t="shared" si="21"/>
        <v>78.844490440572955</v>
      </c>
      <c r="I28" s="74">
        <f t="shared" si="22"/>
        <v>86.509824699384012</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37461.212989999993</v>
      </c>
      <c r="AC28" s="74">
        <f t="shared" si="25"/>
        <v>33756.031350000005</v>
      </c>
      <c r="AD28" s="74">
        <f t="shared" si="25"/>
        <v>33230.049490000005</v>
      </c>
      <c r="AE28" s="74">
        <f t="shared" si="25"/>
        <v>39398.802819999997</v>
      </c>
      <c r="AF28" s="74">
        <f t="shared" si="25"/>
        <v>43002.949390000002</v>
      </c>
      <c r="AG28" s="74">
        <f t="shared" si="25"/>
        <v>0</v>
      </c>
      <c r="AH28" s="75"/>
      <c r="AI28" s="20"/>
    </row>
    <row r="29" spans="1:35" s="22" customFormat="1" ht="45" customHeight="1" x14ac:dyDescent="0.25">
      <c r="A29" s="464"/>
      <c r="B29" s="467"/>
      <c r="C29" s="112" t="s">
        <v>40</v>
      </c>
      <c r="D29" s="74">
        <f t="shared" si="24"/>
        <v>5919.7</v>
      </c>
      <c r="E29" s="74">
        <f>E35</f>
        <v>5488.2719999999999</v>
      </c>
      <c r="F29" s="67">
        <f t="shared" ref="F29:G29" si="26">F35</f>
        <v>2288.5690299999997</v>
      </c>
      <c r="G29" s="67">
        <f t="shared" si="26"/>
        <v>2288.5690299999997</v>
      </c>
      <c r="H29" s="74">
        <f t="shared" si="21"/>
        <v>38.660219774650741</v>
      </c>
      <c r="I29" s="74">
        <f t="shared" si="22"/>
        <v>41.699263994204358</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270.62347999999997</v>
      </c>
      <c r="AD29" s="67">
        <f t="shared" si="27"/>
        <v>387.24599999999998</v>
      </c>
      <c r="AE29" s="67">
        <f t="shared" si="27"/>
        <v>149.75886</v>
      </c>
      <c r="AF29" s="67">
        <f t="shared" si="27"/>
        <v>431.428</v>
      </c>
      <c r="AG29" s="67">
        <f t="shared" si="27"/>
        <v>0</v>
      </c>
      <c r="AH29" s="75"/>
      <c r="AI29" s="20"/>
    </row>
    <row r="30" spans="1:35" s="100" customFormat="1" ht="88.5" customHeight="1" x14ac:dyDescent="0.25">
      <c r="A30" s="595"/>
      <c r="B30" s="597" t="s">
        <v>176</v>
      </c>
      <c r="C30" s="69" t="s">
        <v>20</v>
      </c>
      <c r="D30" s="70">
        <f>D31</f>
        <v>167632.19999999998</v>
      </c>
      <c r="E30" s="70">
        <f t="shared" ref="E30:G38" si="28">E31</f>
        <v>151718.01942999999</v>
      </c>
      <c r="F30" s="70">
        <f t="shared" si="28"/>
        <v>144248.54118000003</v>
      </c>
      <c r="G30" s="70">
        <f t="shared" si="28"/>
        <v>144248.54118000003</v>
      </c>
      <c r="H30" s="70">
        <f t="shared" si="21"/>
        <v>86.050616277779596</v>
      </c>
      <c r="I30" s="70">
        <f t="shared" si="22"/>
        <v>95.076736251855536</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14595.948399999999</v>
      </c>
      <c r="AD30" s="71">
        <f t="shared" si="29"/>
        <v>10043.64414</v>
      </c>
      <c r="AE30" s="71">
        <f t="shared" si="29"/>
        <v>10906.06877</v>
      </c>
      <c r="AF30" s="71">
        <f t="shared" si="29"/>
        <v>15914.18057</v>
      </c>
      <c r="AG30" s="71">
        <f t="shared" si="29"/>
        <v>0</v>
      </c>
      <c r="AH30" s="599" t="s">
        <v>443</v>
      </c>
      <c r="AI30" s="106"/>
    </row>
    <row r="31" spans="1:35" s="33" customFormat="1" ht="90" customHeight="1" x14ac:dyDescent="0.25">
      <c r="A31" s="596"/>
      <c r="B31" s="598"/>
      <c r="C31" s="407" t="s">
        <v>21</v>
      </c>
      <c r="D31" s="74">
        <f>SUM(J31,L31,N31,P31,R31,T31,V31,X31,Z31,AB31,AD31,AF31)</f>
        <v>167632.19999999998</v>
      </c>
      <c r="E31" s="74">
        <f>J31+L31+N31+P31+R31+T31+V31+X31+Z31+AB31+AD31</f>
        <v>151718.01942999999</v>
      </c>
      <c r="F31" s="74">
        <f>G31</f>
        <v>144248.54118000003</v>
      </c>
      <c r="G31" s="74">
        <f>SUM(K31,M31,O31,Q31,S31,U31,W31,Y31,AA31,AC31,AE31,AG31)</f>
        <v>144248.54118000003</v>
      </c>
      <c r="H31" s="74">
        <f t="shared" si="21"/>
        <v>86.050616277779596</v>
      </c>
      <c r="I31" s="74">
        <f t="shared" si="22"/>
        <v>95.076736251855536</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14595.948399999999</v>
      </c>
      <c r="AD31" s="67">
        <v>10043.64414</v>
      </c>
      <c r="AE31" s="67">
        <v>10906.06877</v>
      </c>
      <c r="AF31" s="67">
        <v>15914.18057</v>
      </c>
      <c r="AG31" s="67">
        <v>0</v>
      </c>
      <c r="AH31" s="600"/>
      <c r="AI31" s="106"/>
    </row>
    <row r="32" spans="1:35" s="100" customFormat="1" ht="35.25" customHeight="1" x14ac:dyDescent="0.25">
      <c r="A32" s="603"/>
      <c r="B32" s="597" t="s">
        <v>177</v>
      </c>
      <c r="C32" s="69" t="s">
        <v>20</v>
      </c>
      <c r="D32" s="70">
        <f>SUM(D33:D35)</f>
        <v>91756.4</v>
      </c>
      <c r="E32" s="70">
        <f t="shared" ref="E32:G32" si="30">SUM(E33:E35)</f>
        <v>85879.992999999988</v>
      </c>
      <c r="F32" s="70">
        <f t="shared" si="30"/>
        <v>74628.555829999998</v>
      </c>
      <c r="G32" s="70">
        <f t="shared" si="30"/>
        <v>74628.555829999998</v>
      </c>
      <c r="H32" s="70">
        <f t="shared" si="21"/>
        <v>81.333352038658887</v>
      </c>
      <c r="I32" s="70">
        <f t="shared" si="22"/>
        <v>86.898651505479279</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5208.0900600000004</v>
      </c>
      <c r="AD32" s="71">
        <f t="shared" si="31"/>
        <v>5531.6660000000002</v>
      </c>
      <c r="AE32" s="71">
        <f t="shared" si="31"/>
        <v>5675.6565000000001</v>
      </c>
      <c r="AF32" s="71">
        <f t="shared" si="31"/>
        <v>5876.4070000000002</v>
      </c>
      <c r="AG32" s="71">
        <f t="shared" si="31"/>
        <v>0</v>
      </c>
      <c r="AH32" s="269"/>
      <c r="AI32" s="106"/>
    </row>
    <row r="33" spans="1:35" s="33" customFormat="1" ht="170.25" customHeight="1" x14ac:dyDescent="0.25">
      <c r="A33" s="604"/>
      <c r="B33" s="606"/>
      <c r="C33" s="597" t="s">
        <v>21</v>
      </c>
      <c r="D33" s="607">
        <f>SUM(J33,L33,N33,P33,R33,T33,V33,X33,Z33,AB33,AD33,AF33)</f>
        <v>85836.7</v>
      </c>
      <c r="E33" s="607">
        <f t="shared" ref="E33:E35" si="32">J33+L33+N33+P33+R33+T33+V33+X33+Z33+AB33+AD33</f>
        <v>80391.72099999999</v>
      </c>
      <c r="F33" s="607">
        <f>G33</f>
        <v>72339.986799999999</v>
      </c>
      <c r="G33" s="607">
        <f>SUM(K33,M33,O33,Q33,S33,U33,W33,Y33,AA33,AC33,AE33,AG33)</f>
        <v>72339.986799999999</v>
      </c>
      <c r="H33" s="607">
        <v>40.35509670303324</v>
      </c>
      <c r="I33" s="607">
        <f t="shared" si="22"/>
        <v>89.984373888450548</v>
      </c>
      <c r="J33" s="601">
        <v>6525.8620000000001</v>
      </c>
      <c r="K33" s="601">
        <v>4782.0554099999999</v>
      </c>
      <c r="L33" s="601">
        <v>9174.8829999999998</v>
      </c>
      <c r="M33" s="601">
        <v>7168.8729999999996</v>
      </c>
      <c r="N33" s="601">
        <v>7600.6360000000004</v>
      </c>
      <c r="O33" s="601">
        <v>7394.2965000000004</v>
      </c>
      <c r="P33" s="601">
        <v>7916.223</v>
      </c>
      <c r="Q33" s="601">
        <v>7134.0708800000002</v>
      </c>
      <c r="R33" s="601">
        <v>8279.9619999999995</v>
      </c>
      <c r="S33" s="601">
        <v>7500.0541400000002</v>
      </c>
      <c r="T33" s="601">
        <v>8316.7880000000005</v>
      </c>
      <c r="U33" s="601">
        <v>7550.0750399999997</v>
      </c>
      <c r="V33" s="601">
        <v>7902.7079999999996</v>
      </c>
      <c r="W33" s="601">
        <v>8191.7629800000004</v>
      </c>
      <c r="X33" s="601">
        <v>8492.7389999999996</v>
      </c>
      <c r="Y33" s="601">
        <v>6733.3365100000001</v>
      </c>
      <c r="Z33" s="601">
        <v>5267.21</v>
      </c>
      <c r="AA33" s="601">
        <v>5422.0981199999997</v>
      </c>
      <c r="AB33" s="601">
        <v>5770.29</v>
      </c>
      <c r="AC33" s="601">
        <v>4937.4665800000002</v>
      </c>
      <c r="AD33" s="601">
        <v>5144.42</v>
      </c>
      <c r="AE33" s="601">
        <v>5525.8976400000001</v>
      </c>
      <c r="AF33" s="601">
        <v>5444.9790000000003</v>
      </c>
      <c r="AG33" s="601">
        <v>0</v>
      </c>
      <c r="AH33" s="599" t="s">
        <v>444</v>
      </c>
      <c r="AI33" s="106"/>
    </row>
    <row r="34" spans="1:35" s="33" customFormat="1" ht="37.5" customHeight="1" x14ac:dyDescent="0.25">
      <c r="A34" s="604"/>
      <c r="B34" s="606"/>
      <c r="C34" s="598"/>
      <c r="D34" s="608"/>
      <c r="E34" s="608"/>
      <c r="F34" s="608"/>
      <c r="G34" s="608"/>
      <c r="H34" s="608"/>
      <c r="I34" s="608"/>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0"/>
      <c r="AI34" s="106"/>
    </row>
    <row r="35" spans="1:35" s="33" customFormat="1" ht="183" customHeight="1" x14ac:dyDescent="0.25">
      <c r="A35" s="605"/>
      <c r="B35" s="598"/>
      <c r="C35" s="407" t="s">
        <v>40</v>
      </c>
      <c r="D35" s="74">
        <f>SUM(J35,L35,N35,P35,R35,T35,V35,X35,Z35,AB35,AD35,AF35)</f>
        <v>5919.7</v>
      </c>
      <c r="E35" s="74">
        <f t="shared" si="32"/>
        <v>5488.2719999999999</v>
      </c>
      <c r="F35" s="74">
        <f>G35</f>
        <v>2288.5690299999997</v>
      </c>
      <c r="G35" s="74">
        <f>SUM(K35,M35,O35,Q35,S35,U35,W35,Y35,AA35,AC35,AE35,AG35)</f>
        <v>2288.5690299999997</v>
      </c>
      <c r="H35" s="74">
        <f t="shared" si="21"/>
        <v>38.660219774650741</v>
      </c>
      <c r="I35" s="74">
        <f t="shared" ref="I35" si="33">IFERROR(G35/E35*100,0)</f>
        <v>41.699263994204358</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270.62347999999997</v>
      </c>
      <c r="AD35" s="67">
        <v>387.24599999999998</v>
      </c>
      <c r="AE35" s="67">
        <v>149.75886</v>
      </c>
      <c r="AF35" s="67">
        <v>431.428</v>
      </c>
      <c r="AG35" s="67">
        <v>0</v>
      </c>
      <c r="AH35" s="75" t="s">
        <v>445</v>
      </c>
      <c r="AI35" s="106"/>
    </row>
    <row r="36" spans="1:35" s="100" customFormat="1" ht="35.25" customHeight="1" x14ac:dyDescent="0.25">
      <c r="A36" s="595"/>
      <c r="B36" s="597" t="s">
        <v>178</v>
      </c>
      <c r="C36" s="69" t="s">
        <v>20</v>
      </c>
      <c r="D36" s="70">
        <f>D37</f>
        <v>212010.70400000003</v>
      </c>
      <c r="E36" s="70">
        <f t="shared" si="28"/>
        <v>191804.14138000002</v>
      </c>
      <c r="F36" s="70">
        <f t="shared" si="28"/>
        <v>159833.18109</v>
      </c>
      <c r="G36" s="70">
        <f t="shared" si="28"/>
        <v>159833.18109</v>
      </c>
      <c r="H36" s="70">
        <f t="shared" si="21"/>
        <v>75.389203504555113</v>
      </c>
      <c r="I36" s="70">
        <f t="shared" si="22"/>
        <v>83.331454649532546</v>
      </c>
      <c r="J36" s="71">
        <f t="shared" ref="J36:AG36" si="34">J37</f>
        <v>10561.147199999999</v>
      </c>
      <c r="K36" s="71">
        <f t="shared" si="34"/>
        <v>4307.4624800000001</v>
      </c>
      <c r="L36" s="71">
        <f t="shared" si="34"/>
        <v>19516.59737</v>
      </c>
      <c r="M36" s="71">
        <f t="shared" si="34"/>
        <v>14918.62653</v>
      </c>
      <c r="N36" s="71">
        <f t="shared" si="34"/>
        <v>19314.02852</v>
      </c>
      <c r="O36" s="71">
        <f t="shared" si="34"/>
        <v>12821.028319999999</v>
      </c>
      <c r="P36" s="71">
        <f t="shared" si="34"/>
        <v>19928.671900000001</v>
      </c>
      <c r="Q36" s="71">
        <f t="shared" si="34"/>
        <v>13880.23818</v>
      </c>
      <c r="R36" s="71">
        <f t="shared" si="34"/>
        <v>19851.77896</v>
      </c>
      <c r="S36" s="71">
        <f t="shared" si="34"/>
        <v>17495.225849999999</v>
      </c>
      <c r="T36" s="71">
        <f t="shared" si="34"/>
        <v>18676.40768</v>
      </c>
      <c r="U36" s="71">
        <f t="shared" si="34"/>
        <v>19514.909380000001</v>
      </c>
      <c r="V36" s="71">
        <f t="shared" si="34"/>
        <v>17361.882180000001</v>
      </c>
      <c r="W36" s="71">
        <f t="shared" si="34"/>
        <v>18961.730479999998</v>
      </c>
      <c r="X36" s="71">
        <f t="shared" si="34"/>
        <v>17611.485369999999</v>
      </c>
      <c r="Y36" s="71">
        <f t="shared" si="34"/>
        <v>12503.490239999999</v>
      </c>
      <c r="Z36" s="71">
        <f t="shared" si="34"/>
        <v>17626.52763</v>
      </c>
      <c r="AA36" s="71">
        <f t="shared" si="34"/>
        <v>11464.63387</v>
      </c>
      <c r="AB36" s="71">
        <f t="shared" si="34"/>
        <v>15345.610420000001</v>
      </c>
      <c r="AC36" s="71">
        <f t="shared" si="34"/>
        <v>12667.99487</v>
      </c>
      <c r="AD36" s="71">
        <f t="shared" si="34"/>
        <v>16010.004150000001</v>
      </c>
      <c r="AE36" s="71">
        <f t="shared" si="34"/>
        <v>21297.840889999999</v>
      </c>
      <c r="AF36" s="71">
        <f t="shared" si="34"/>
        <v>20206.562620000001</v>
      </c>
      <c r="AG36" s="71">
        <f t="shared" si="34"/>
        <v>0</v>
      </c>
      <c r="AH36" s="599" t="s">
        <v>368</v>
      </c>
      <c r="AI36" s="106"/>
    </row>
    <row r="37" spans="1:35" s="33" customFormat="1" ht="42" customHeight="1" x14ac:dyDescent="0.25">
      <c r="A37" s="596"/>
      <c r="B37" s="598"/>
      <c r="C37" s="407" t="s">
        <v>21</v>
      </c>
      <c r="D37" s="74">
        <f>SUM(J37,L37,N37,P37,R37,T37,V37,X37,Z37,AB37,AD37,AF37)</f>
        <v>212010.70400000003</v>
      </c>
      <c r="E37" s="74">
        <f>J37+L37+N37+P37+R37+T37+V37+X37+Z37+AB37+AD37</f>
        <v>191804.14138000002</v>
      </c>
      <c r="F37" s="74">
        <f>G37</f>
        <v>159833.18109</v>
      </c>
      <c r="G37" s="74">
        <f>SUM(K37,M37,O37,Q37,S37,U37,W37,Y37,AA37,AC37,AE37,AG37)</f>
        <v>159833.18109</v>
      </c>
      <c r="H37" s="74">
        <f t="shared" si="21"/>
        <v>75.389203504555113</v>
      </c>
      <c r="I37" s="74">
        <f t="shared" si="22"/>
        <v>83.331454649532546</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15345.610420000001</v>
      </c>
      <c r="AC37" s="67">
        <v>12667.99487</v>
      </c>
      <c r="AD37" s="67">
        <v>16010.004150000001</v>
      </c>
      <c r="AE37" s="67">
        <v>21297.840889999999</v>
      </c>
      <c r="AF37" s="67">
        <v>20206.562620000001</v>
      </c>
      <c r="AG37" s="67">
        <v>0</v>
      </c>
      <c r="AH37" s="600"/>
      <c r="AI37" s="106"/>
    </row>
    <row r="38" spans="1:35" s="100" customFormat="1" ht="35.25" customHeight="1" x14ac:dyDescent="0.25">
      <c r="A38" s="595"/>
      <c r="B38" s="597" t="s">
        <v>179</v>
      </c>
      <c r="C38" s="69" t="s">
        <v>20</v>
      </c>
      <c r="D38" s="70">
        <f>D39</f>
        <v>19845.3</v>
      </c>
      <c r="E38" s="70">
        <f t="shared" si="28"/>
        <v>18408.072799999998</v>
      </c>
      <c r="F38" s="70">
        <f t="shared" si="28"/>
        <v>6230.2384700000002</v>
      </c>
      <c r="G38" s="70">
        <f t="shared" si="28"/>
        <v>6230.2384700000002</v>
      </c>
      <c r="H38" s="70">
        <f t="shared" si="21"/>
        <v>31.394025134414701</v>
      </c>
      <c r="I38" s="70">
        <f t="shared" si="22"/>
        <v>33.845142496394303</v>
      </c>
      <c r="J38" s="71">
        <f t="shared" ref="J38:AG38" si="35">J39</f>
        <v>0</v>
      </c>
      <c r="K38" s="71">
        <f t="shared" si="35"/>
        <v>0</v>
      </c>
      <c r="L38" s="71">
        <f t="shared" si="35"/>
        <v>0</v>
      </c>
      <c r="M38" s="71">
        <f t="shared" si="35"/>
        <v>0</v>
      </c>
      <c r="N38" s="71">
        <f t="shared" si="35"/>
        <v>2247.1214</v>
      </c>
      <c r="O38" s="71">
        <f t="shared" si="35"/>
        <v>0</v>
      </c>
      <c r="P38" s="71">
        <f t="shared" si="35"/>
        <v>2034.9349999999999</v>
      </c>
      <c r="Q38" s="71">
        <f t="shared" si="35"/>
        <v>0</v>
      </c>
      <c r="R38" s="71">
        <f t="shared" si="35"/>
        <v>2015.3340000000001</v>
      </c>
      <c r="S38" s="71">
        <f t="shared" si="35"/>
        <v>0</v>
      </c>
      <c r="T38" s="71">
        <f t="shared" si="35"/>
        <v>1929.4649999999999</v>
      </c>
      <c r="U38" s="71">
        <f t="shared" si="35"/>
        <v>206.43394000000001</v>
      </c>
      <c r="V38" s="71">
        <f t="shared" si="35"/>
        <v>2090.1941999999999</v>
      </c>
      <c r="W38" s="71">
        <f t="shared" si="35"/>
        <v>965.28301999999996</v>
      </c>
      <c r="X38" s="71">
        <f t="shared" si="35"/>
        <v>1852.7139999999999</v>
      </c>
      <c r="Y38" s="71">
        <f t="shared" si="35"/>
        <v>739.92163000000005</v>
      </c>
      <c r="Z38" s="71">
        <f t="shared" si="35"/>
        <v>2067.6640000000002</v>
      </c>
      <c r="AA38" s="71">
        <f t="shared" si="35"/>
        <v>1094.9828600000001</v>
      </c>
      <c r="AB38" s="71">
        <f t="shared" si="35"/>
        <v>2138.6640000000002</v>
      </c>
      <c r="AC38" s="71">
        <f t="shared" si="35"/>
        <v>1554.6215</v>
      </c>
      <c r="AD38" s="71">
        <f t="shared" si="35"/>
        <v>2031.9811999999999</v>
      </c>
      <c r="AE38" s="71">
        <f t="shared" si="35"/>
        <v>1668.9955199999999</v>
      </c>
      <c r="AF38" s="71">
        <f t="shared" si="35"/>
        <v>1437.2272</v>
      </c>
      <c r="AG38" s="71">
        <f t="shared" si="35"/>
        <v>0</v>
      </c>
      <c r="AH38" s="599" t="s">
        <v>342</v>
      </c>
      <c r="AI38" s="106"/>
    </row>
    <row r="39" spans="1:35" s="33" customFormat="1" ht="42" customHeight="1" x14ac:dyDescent="0.25">
      <c r="A39" s="596"/>
      <c r="B39" s="598"/>
      <c r="C39" s="407" t="s">
        <v>21</v>
      </c>
      <c r="D39" s="74">
        <f>SUM(J39,L39,N39,P39,R39,T39,V39,X39,Z39,AB39,AD39,AF39)</f>
        <v>19845.3</v>
      </c>
      <c r="E39" s="74">
        <f>J39+L39+N39+P39+R39+T39+V39+X39+Z39+AB39+AD39</f>
        <v>18408.072799999998</v>
      </c>
      <c r="F39" s="74">
        <f>G39</f>
        <v>6230.2384700000002</v>
      </c>
      <c r="G39" s="74">
        <f>SUM(K39,M39,O39,Q39,S39,U39,W39,Y39,AA39,AC39,AE39,AG39)</f>
        <v>6230.2384700000002</v>
      </c>
      <c r="H39" s="74">
        <f t="shared" si="21"/>
        <v>31.394025134414701</v>
      </c>
      <c r="I39" s="74">
        <f t="shared" si="22"/>
        <v>33.845142496394303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1554.6215</v>
      </c>
      <c r="AD39" s="67">
        <v>2031.9811999999999</v>
      </c>
      <c r="AE39" s="67">
        <v>1668.9955199999999</v>
      </c>
      <c r="AF39" s="67">
        <v>1437.2272</v>
      </c>
      <c r="AG39" s="67">
        <v>0</v>
      </c>
      <c r="AH39" s="600"/>
      <c r="AI39" s="106"/>
    </row>
    <row r="40" spans="1:35" x14ac:dyDescent="0.25">
      <c r="B40" s="130"/>
      <c r="C40" s="27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369</v>
      </c>
      <c r="C41" s="27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370</v>
      </c>
      <c r="C42" s="270"/>
      <c r="D42" s="271"/>
      <c r="E42" s="271"/>
      <c r="F42" s="271"/>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t="s">
        <v>446</v>
      </c>
      <c r="C44" s="27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0"/>
      <c r="D45" s="130"/>
      <c r="E45" s="271"/>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133BB3F8-8DD4-4AEF-8CD6-A5FB14681329}"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1"/>
    </customSheetView>
    <customSheetView guid="{C282AA4E-1BB5-4296-9AC6-844C0F88E5FC}"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2"/>
    </customSheetView>
    <customSheetView guid="{B6B60ED6-A6CC-4DA7-A8CA-5E6DB52D5A8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3"/>
    </customSheetView>
    <customSheetView guid="{A0E2FBF6-E560-4343-8BE6-217DC798135B}"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4"/>
    </customSheetView>
    <customSheetView guid="{AB9978E4-895D-4050-8F07-2484E22632D1}"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5"/>
    </customSheetView>
    <customSheetView guid="{2940A182-D1A7-43C5-8D6E-965BED4371B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6"/>
    </customSheetView>
    <customSheetView guid="{A4AF2100-C59D-4F60-9EAB-56D9103463F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7"/>
    </customSheetView>
    <customSheetView guid="{60A1F930-4BEC-460A-8E14-01E47F6DD055}" scale="25" showPageBreaks="1" fitToPage="1" view="pageBreakPreview">
      <selection activeCell="Q30" sqref="Q30"/>
      <pageMargins left="0.70866141732283472" right="0.70866141732283472" top="0.74803149606299213" bottom="0.74803149606299213" header="0.31496062992125984" footer="0.31496062992125984"/>
      <pageSetup paperSize="9" scale="16" orientation="landscape" r:id="rId8"/>
    </customSheetView>
    <customSheetView guid="{30B635D9-57DB-47D5-8A0F-4B30DD76996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9"/>
    </customSheetView>
  </customSheetViews>
  <mergeCells count="87">
    <mergeCell ref="A4:A6"/>
    <mergeCell ref="B4:B6"/>
    <mergeCell ref="C4:C6"/>
    <mergeCell ref="D4:D5"/>
    <mergeCell ref="E4:E5"/>
    <mergeCell ref="P4:Q5"/>
    <mergeCell ref="R4:S5"/>
    <mergeCell ref="T4:U5"/>
    <mergeCell ref="C2:S2"/>
    <mergeCell ref="C3:S3"/>
    <mergeCell ref="F4:F5"/>
    <mergeCell ref="G4:G5"/>
    <mergeCell ref="H4:I5"/>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A15:A17"/>
    <mergeCell ref="B15:B17"/>
    <mergeCell ref="AH15:AH17"/>
    <mergeCell ref="A18:A20"/>
    <mergeCell ref="B18:B20"/>
    <mergeCell ref="AH18:AH20"/>
    <mergeCell ref="AH30:AH31"/>
    <mergeCell ref="B21:AG21"/>
    <mergeCell ref="A22:A23"/>
    <mergeCell ref="B22:B23"/>
    <mergeCell ref="AH22:AH25"/>
    <mergeCell ref="A24:A25"/>
    <mergeCell ref="B24:B25"/>
    <mergeCell ref="B26:AG26"/>
    <mergeCell ref="A27:A29"/>
    <mergeCell ref="B27:B29"/>
    <mergeCell ref="A30:A31"/>
    <mergeCell ref="B30:B31"/>
    <mergeCell ref="L33:L34"/>
    <mergeCell ref="A32:A35"/>
    <mergeCell ref="B32:B35"/>
    <mergeCell ref="C33:C34"/>
    <mergeCell ref="D33:D34"/>
    <mergeCell ref="E33:E34"/>
    <mergeCell ref="F33:F34"/>
    <mergeCell ref="G33:G34"/>
    <mergeCell ref="H33:H34"/>
    <mergeCell ref="I33:I34"/>
    <mergeCell ref="J33:J34"/>
    <mergeCell ref="K33:K34"/>
    <mergeCell ref="X33:X34"/>
    <mergeCell ref="M33:M34"/>
    <mergeCell ref="N33:N34"/>
    <mergeCell ref="O33:O34"/>
    <mergeCell ref="P33:P34"/>
    <mergeCell ref="Q33:Q34"/>
    <mergeCell ref="R33:R34"/>
    <mergeCell ref="S33:S34"/>
    <mergeCell ref="T33:T34"/>
    <mergeCell ref="U33:U34"/>
    <mergeCell ref="V33:V34"/>
    <mergeCell ref="W33:W34"/>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s>
  <pageMargins left="0.70866141732283472" right="0.70866141732283472" top="0.74803149606299213" bottom="0.74803149606299213" header="0.31496062992125984" footer="0.31496062992125984"/>
  <pageSetup paperSize="9" scale="17" orientation="landscape" r:id="rId10"/>
  <legacyDrawing r:id="rId1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tabSelected="1" zoomScale="70" zoomScaleNormal="70" workbookViewId="0">
      <pane xSplit="6" ySplit="7" topLeftCell="G8" activePane="bottomRight" state="frozen"/>
      <selection pane="topRight" activeCell="G1" sqref="G1"/>
      <selection pane="bottomLeft" activeCell="A8" sqref="A8"/>
      <selection pane="bottomRight" activeCell="K12" sqref="K1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6.75" customHeight="1" x14ac:dyDescent="0.25">
      <c r="A3" s="55"/>
      <c r="B3" s="55"/>
      <c r="C3" s="473" t="s">
        <v>189</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2"/>
      <c r="B8" s="465" t="s">
        <v>23</v>
      </c>
      <c r="C8" s="69" t="s">
        <v>20</v>
      </c>
      <c r="D8" s="71">
        <f t="shared" ref="D8:AF8" si="0">D9</f>
        <v>514.20000000000005</v>
      </c>
      <c r="E8" s="71">
        <f t="shared" si="0"/>
        <v>514.20000000000005</v>
      </c>
      <c r="F8" s="71">
        <f t="shared" si="0"/>
        <v>514.20000000000005</v>
      </c>
      <c r="G8" s="71">
        <f t="shared" si="0"/>
        <v>475.40000000000003</v>
      </c>
      <c r="H8" s="71">
        <f>IFERROR(G8/D8*100,0)</f>
        <v>92.454297938545309</v>
      </c>
      <c r="I8" s="71">
        <f>IFERROR(G8/E8*100,0)</f>
        <v>92.454297938545309</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0</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162.80000000000001</v>
      </c>
      <c r="AF8" s="71">
        <f t="shared" si="0"/>
        <v>0</v>
      </c>
      <c r="AG8" s="71">
        <f>AG9</f>
        <v>182.7</v>
      </c>
      <c r="AH8" s="72"/>
    </row>
    <row r="9" spans="1:35" s="26" customFormat="1" ht="41.25" customHeight="1" x14ac:dyDescent="0.25">
      <c r="A9" s="464"/>
      <c r="B9" s="467"/>
      <c r="C9" s="73" t="s">
        <v>21</v>
      </c>
      <c r="D9" s="74">
        <f>J9+L9+N9+P9+R9+T9+V9+X9+Z9+AB9+AD9+AF9</f>
        <v>514.20000000000005</v>
      </c>
      <c r="E9" s="74">
        <f>J9+L9+N9+P9+R9+T9+V9+X9+Z9+AB9+AD9+AF9</f>
        <v>514.20000000000005</v>
      </c>
      <c r="F9" s="74">
        <f>SUM(J9+L9+N9+P9+R9+T9+V9+X9+Z9+AB9+AD9+AF9)</f>
        <v>514.20000000000005</v>
      </c>
      <c r="G9" s="74">
        <f>K9+M9+O9+Q9+S9+U9+W9+Y9+AA9+AC9+AE9+AG9</f>
        <v>475.40000000000003</v>
      </c>
      <c r="H9" s="71">
        <f>IFERROR(G9/D9*100,0)</f>
        <v>92.454297938545309</v>
      </c>
      <c r="I9" s="71">
        <f>IFERROR(G9/E9*100,0)</f>
        <v>92.454297938545309</v>
      </c>
      <c r="J9" s="74">
        <f>J12+J21+J30</f>
        <v>0</v>
      </c>
      <c r="K9" s="74">
        <f t="shared" ref="K9:AF9" si="1">K12+K21+K30</f>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0</v>
      </c>
      <c r="W9" s="74">
        <f t="shared" si="1"/>
        <v>0</v>
      </c>
      <c r="X9" s="74">
        <f t="shared" si="1"/>
        <v>6.7</v>
      </c>
      <c r="Y9" s="74">
        <f t="shared" si="1"/>
        <v>0</v>
      </c>
      <c r="Z9" s="74">
        <f t="shared" si="1"/>
        <v>9</v>
      </c>
      <c r="AA9" s="74">
        <f t="shared" si="1"/>
        <v>9</v>
      </c>
      <c r="AB9" s="74">
        <f t="shared" si="1"/>
        <v>40</v>
      </c>
      <c r="AC9" s="74">
        <f t="shared" si="1"/>
        <v>11</v>
      </c>
      <c r="AD9" s="74">
        <f t="shared" si="1"/>
        <v>309.8</v>
      </c>
      <c r="AE9" s="74">
        <f>AE12+AE21+AE30</f>
        <v>162.80000000000001</v>
      </c>
      <c r="AF9" s="74">
        <f t="shared" si="1"/>
        <v>0</v>
      </c>
      <c r="AG9" s="74">
        <f>AG12+AG21+AG30</f>
        <v>182.7</v>
      </c>
      <c r="AH9" s="75"/>
    </row>
    <row r="10" spans="1:35" s="18" customFormat="1" ht="18.75" customHeight="1" x14ac:dyDescent="0.25">
      <c r="A10" s="118" t="s">
        <v>151</v>
      </c>
      <c r="B10" s="415" t="s">
        <v>190</v>
      </c>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7"/>
      <c r="AH10" s="46"/>
    </row>
    <row r="11" spans="1:35" s="22" customFormat="1" ht="50.25" customHeight="1" x14ac:dyDescent="0.25">
      <c r="A11" s="453" t="s">
        <v>37</v>
      </c>
      <c r="B11" s="459" t="s">
        <v>191</v>
      </c>
      <c r="C11" s="57" t="s">
        <v>20</v>
      </c>
      <c r="D11" s="58">
        <f>D12</f>
        <v>309.8</v>
      </c>
      <c r="E11" s="58">
        <f>E12</f>
        <v>309.8</v>
      </c>
      <c r="F11" s="58">
        <f>F12</f>
        <v>309.8</v>
      </c>
      <c r="G11" s="58">
        <f>G12</f>
        <v>309.8</v>
      </c>
      <c r="H11" s="58">
        <f t="shared" ref="H11" si="2">IFERROR(G11/D11*100,0)</f>
        <v>100</v>
      </c>
      <c r="I11" s="58">
        <f t="shared" ref="I11" si="3">IFERROR(G11/E11*100,0)</f>
        <v>100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133.80000000000001</v>
      </c>
      <c r="AF11" s="59">
        <f t="shared" si="4"/>
        <v>0</v>
      </c>
      <c r="AG11" s="59">
        <f>AG12</f>
        <v>176</v>
      </c>
      <c r="AH11" s="60"/>
      <c r="AI11" s="20"/>
    </row>
    <row r="12" spans="1:35" s="26" customFormat="1" ht="71.25" customHeight="1" x14ac:dyDescent="0.25">
      <c r="A12" s="424"/>
      <c r="B12" s="460"/>
      <c r="C12" s="73" t="s">
        <v>21</v>
      </c>
      <c r="D12" s="74">
        <f>SUM(J12,L12,N12,P12,R12,T12,V12,X12,Z12,AB12,AD12,AF12)</f>
        <v>309.8</v>
      </c>
      <c r="E12" s="74">
        <f>J12+L12+N12+P12+R12+T12+V12+X12+Z12+AB12+AD12+AF12</f>
        <v>309.8</v>
      </c>
      <c r="F12" s="74">
        <f>G12</f>
        <v>309.8</v>
      </c>
      <c r="G12" s="74">
        <f>SUM(K12,M12,O12,Q12,S12,U12,W12,Y12,AA12,AC12,AE12,AG12)</f>
        <v>309.8</v>
      </c>
      <c r="H12" s="70">
        <f t="shared" ref="H12:H18" si="5">IFERROR(G12/D12*100,0)</f>
        <v>100</v>
      </c>
      <c r="I12" s="70">
        <f t="shared" ref="I12:I18" si="6">IFERROR(G12/E12*100,0)</f>
        <v>100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133.80000000000001</v>
      </c>
      <c r="AF12" s="67">
        <f t="shared" si="7"/>
        <v>0</v>
      </c>
      <c r="AG12" s="67">
        <f>AG14+AG16+AG18</f>
        <v>176</v>
      </c>
      <c r="AH12" s="72"/>
      <c r="AI12" s="24"/>
    </row>
    <row r="13" spans="1:35" s="22" customFormat="1" ht="99" customHeight="1" x14ac:dyDescent="0.25">
      <c r="A13" s="453"/>
      <c r="B13" s="451"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24"/>
      <c r="B14" s="452"/>
      <c r="C14" s="61" t="s">
        <v>21</v>
      </c>
      <c r="D14" s="62">
        <f>SUM(J14,L14,N14,P14,R14,T14,V14,X14,Z14,AB14,AD14,AF14)</f>
        <v>0</v>
      </c>
      <c r="E14" s="62">
        <f>J14+L14+N14+P14+R14+T14+V14+X14+Z14+AB14+AD14+AF14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24"/>
      <c r="B15" s="451"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25"/>
      <c r="B16" s="452"/>
      <c r="C16" s="61" t="s">
        <v>21</v>
      </c>
      <c r="D16" s="62">
        <f>SUM(J16,L16,N16,P16,R16,T16,V16,X16,Z16,AB16,AD16,AF16)</f>
        <v>0</v>
      </c>
      <c r="E16" s="62">
        <f>J16+L16+N16+P16+R16+T16+V16+X16+Z16+AB16+AD16+AF16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23"/>
      <c r="B17" s="451" t="s">
        <v>194</v>
      </c>
      <c r="C17" s="57" t="s">
        <v>20</v>
      </c>
      <c r="D17" s="58">
        <f>D18</f>
        <v>309.8</v>
      </c>
      <c r="E17" s="58">
        <f>E18</f>
        <v>309.8</v>
      </c>
      <c r="F17" s="58">
        <f>F18</f>
        <v>309.8</v>
      </c>
      <c r="G17" s="58">
        <f>G18</f>
        <v>309.8</v>
      </c>
      <c r="H17" s="58">
        <f t="shared" si="5"/>
        <v>100</v>
      </c>
      <c r="I17" s="58">
        <f t="shared" si="6"/>
        <v>100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133.80000000000001</v>
      </c>
      <c r="AF17" s="59">
        <f t="shared" si="10"/>
        <v>0</v>
      </c>
      <c r="AG17" s="59">
        <f>AG18</f>
        <v>176</v>
      </c>
      <c r="AH17" s="60"/>
      <c r="AI17" s="20"/>
    </row>
    <row r="18" spans="1:35" s="22" customFormat="1" ht="66.75" customHeight="1" x14ac:dyDescent="0.25">
      <c r="A18" s="425"/>
      <c r="B18" s="452"/>
      <c r="C18" s="61" t="s">
        <v>21</v>
      </c>
      <c r="D18" s="62">
        <f>SUM(J18,L18,N18,P18,R18,T18,V18,X18,Z18,AB18,AD18,AF18)</f>
        <v>309.8</v>
      </c>
      <c r="E18" s="62">
        <f>J18+L18+N18+P18+R18+T18+V18+X18+Z18+AB18+AD18+AF18</f>
        <v>309.8</v>
      </c>
      <c r="F18" s="62">
        <f>G18</f>
        <v>309.8</v>
      </c>
      <c r="G18" s="62">
        <f>SUM(K18,M18,O18,Q18,S18,U18,W18,Y18,AA18,AC18,AE18,AG18)</f>
        <v>309.8</v>
      </c>
      <c r="H18" s="58">
        <f t="shared" si="5"/>
        <v>100</v>
      </c>
      <c r="I18" s="58">
        <f t="shared" si="6"/>
        <v>100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133.80000000000001</v>
      </c>
      <c r="AF18" s="63">
        <v>0</v>
      </c>
      <c r="AG18" s="63">
        <v>176</v>
      </c>
      <c r="AH18" s="60" t="s">
        <v>451</v>
      </c>
      <c r="AI18" s="20"/>
    </row>
    <row r="19" spans="1:35" s="22" customFormat="1" ht="25.5" customHeight="1" x14ac:dyDescent="0.25">
      <c r="A19" s="118" t="s">
        <v>153</v>
      </c>
      <c r="B19" s="415" t="s">
        <v>195</v>
      </c>
      <c r="C19" s="416"/>
      <c r="D19" s="416"/>
      <c r="E19" s="416"/>
      <c r="F19" s="416"/>
      <c r="G19" s="416"/>
      <c r="H19" s="416"/>
      <c r="I19" s="416"/>
      <c r="J19" s="416"/>
      <c r="K19" s="416"/>
      <c r="L19" s="416"/>
      <c r="M19" s="416"/>
      <c r="N19" s="416"/>
      <c r="O19" s="416"/>
      <c r="P19" s="416"/>
      <c r="Q19" s="416"/>
      <c r="R19" s="416"/>
      <c r="S19" s="416"/>
      <c r="T19" s="416"/>
      <c r="U19" s="416"/>
      <c r="V19" s="416"/>
      <c r="W19" s="416"/>
      <c r="X19" s="416"/>
      <c r="Y19" s="416"/>
      <c r="Z19" s="416"/>
      <c r="AA19" s="416"/>
      <c r="AB19" s="416"/>
      <c r="AC19" s="416"/>
      <c r="AD19" s="416"/>
      <c r="AE19" s="416"/>
      <c r="AF19" s="416"/>
      <c r="AG19" s="417"/>
      <c r="AH19" s="60"/>
      <c r="AI19" s="20"/>
    </row>
    <row r="20" spans="1:35" s="22" customFormat="1" ht="44.25" customHeight="1" x14ac:dyDescent="0.25">
      <c r="A20" s="453" t="s">
        <v>154</v>
      </c>
      <c r="B20" s="459" t="s">
        <v>196</v>
      </c>
      <c r="C20" s="57" t="s">
        <v>20</v>
      </c>
      <c r="D20" s="59">
        <f t="shared" ref="D20:AF20" si="11">D21</f>
        <v>204.39999999999998</v>
      </c>
      <c r="E20" s="59">
        <f t="shared" si="11"/>
        <v>204.39999999999998</v>
      </c>
      <c r="F20" s="59">
        <f t="shared" si="11"/>
        <v>204.39999999999998</v>
      </c>
      <c r="G20" s="59">
        <f t="shared" si="11"/>
        <v>165.6</v>
      </c>
      <c r="H20" s="59">
        <f t="shared" ref="H20:H27" si="12">IFERROR(G20/D20*100,0)</f>
        <v>81.017612524461839</v>
      </c>
      <c r="I20" s="59">
        <f t="shared" ref="I20:I27" si="13">IFERROR(G20/E20*100,0)</f>
        <v>81.017612524461839</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29</v>
      </c>
      <c r="AF20" s="59">
        <f t="shared" si="11"/>
        <v>0</v>
      </c>
      <c r="AG20" s="59">
        <f>AG21</f>
        <v>6.7</v>
      </c>
      <c r="AH20" s="60"/>
      <c r="AI20" s="20"/>
    </row>
    <row r="21" spans="1:35" s="22" customFormat="1" ht="129" customHeight="1" x14ac:dyDescent="0.25">
      <c r="A21" s="499"/>
      <c r="B21" s="461"/>
      <c r="C21" s="61" t="s">
        <v>21</v>
      </c>
      <c r="D21" s="62">
        <f>SUM(J21,L21,N21,P21,R21,T21,V21,X21,Z21,AB21,AD21,AF21)</f>
        <v>204.39999999999998</v>
      </c>
      <c r="E21" s="62">
        <f>J21+L21+N21+P21+R21+T21+V21+X21+Z21+AB21+AD21+AF21</f>
        <v>204.39999999999998</v>
      </c>
      <c r="F21" s="62">
        <f>SUM(J21+L21+N21+P21+R21+T21+V21+X21+Z21+AB21+AD21+AF21)</f>
        <v>204.39999999999998</v>
      </c>
      <c r="G21" s="62">
        <f>SUM(K21,M21,O21,Q21,S21,U21,W21,Y21,AA21,AC21,AE21,AG21)</f>
        <v>165.6</v>
      </c>
      <c r="H21" s="59">
        <f t="shared" si="12"/>
        <v>81.017612524461839</v>
      </c>
      <c r="I21" s="59">
        <f t="shared" si="13"/>
        <v>81.017612524461839</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29</v>
      </c>
      <c r="AF21" s="63">
        <f t="shared" si="14"/>
        <v>0</v>
      </c>
      <c r="AG21" s="63">
        <f>AG23+AG25+AG27</f>
        <v>6.7</v>
      </c>
      <c r="AH21" s="60"/>
      <c r="AI21" s="20"/>
    </row>
    <row r="22" spans="1:35" s="22" customFormat="1" ht="33" customHeight="1" x14ac:dyDescent="0.25">
      <c r="A22" s="453"/>
      <c r="B22" s="451"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24"/>
      <c r="B23" s="452"/>
      <c r="C23" s="61" t="s">
        <v>21</v>
      </c>
      <c r="D23" s="62">
        <f>SUM(J23,L23,N23,P23,R23,T23,V23,X23,Z23,AB23,AD23,AF23)</f>
        <v>157.69999999999999</v>
      </c>
      <c r="E23" s="62">
        <f>J23+L23+N23+P23+R23+T23+V23+X23+Z23+AB23+AD23+AF23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458</v>
      </c>
      <c r="AI23" s="20"/>
    </row>
    <row r="24" spans="1:35" s="22" customFormat="1" ht="38.25" customHeight="1" x14ac:dyDescent="0.25">
      <c r="A24" s="423"/>
      <c r="B24" s="451" t="s">
        <v>198</v>
      </c>
      <c r="C24" s="57" t="s">
        <v>20</v>
      </c>
      <c r="D24" s="59">
        <f t="shared" ref="D24:AF24" si="16">D25</f>
        <v>40</v>
      </c>
      <c r="E24" s="59">
        <f t="shared" si="16"/>
        <v>40</v>
      </c>
      <c r="F24" s="59">
        <f t="shared" si="16"/>
        <v>40</v>
      </c>
      <c r="G24" s="59">
        <f t="shared" si="16"/>
        <v>40</v>
      </c>
      <c r="H24" s="59">
        <f t="shared" si="12"/>
        <v>100</v>
      </c>
      <c r="I24" s="59">
        <f t="shared" si="13"/>
        <v>100</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29</v>
      </c>
      <c r="AF24" s="59">
        <f t="shared" si="16"/>
        <v>0</v>
      </c>
      <c r="AG24" s="59">
        <f>AG25</f>
        <v>0</v>
      </c>
      <c r="AH24" s="60"/>
      <c r="AI24" s="20"/>
    </row>
    <row r="25" spans="1:35" s="22" customFormat="1" ht="90.75" customHeight="1" x14ac:dyDescent="0.25">
      <c r="A25" s="425"/>
      <c r="B25" s="452"/>
      <c r="C25" s="61" t="s">
        <v>21</v>
      </c>
      <c r="D25" s="62">
        <f>SUM(J25,L25,N25,P25,R25,T25,V25,X25,Z25,AB25,AD25,AF25)</f>
        <v>40</v>
      </c>
      <c r="E25" s="62">
        <f>J25+L25+N25+P25+R25+T25+V25+X25+Z25+AB25+AD25+AF25</f>
        <v>40</v>
      </c>
      <c r="F25" s="62">
        <f>G25</f>
        <v>40</v>
      </c>
      <c r="G25" s="62">
        <f>SUM(K25,M25,O25,Q25,S25,U25,W25,Y25,AA25,AC25,AE25,AG25)</f>
        <v>40</v>
      </c>
      <c r="H25" s="59">
        <f t="shared" si="12"/>
        <v>100</v>
      </c>
      <c r="I25" s="59">
        <f t="shared" si="13"/>
        <v>100</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29</v>
      </c>
      <c r="AF25" s="63">
        <v>0</v>
      </c>
      <c r="AG25" s="63">
        <v>0</v>
      </c>
      <c r="AH25" s="60" t="s">
        <v>464</v>
      </c>
      <c r="AI25" s="20"/>
    </row>
    <row r="26" spans="1:35" s="22" customFormat="1" ht="30.75" customHeight="1" x14ac:dyDescent="0.25">
      <c r="A26" s="423"/>
      <c r="B26" s="451" t="s">
        <v>199</v>
      </c>
      <c r="C26" s="57" t="s">
        <v>20</v>
      </c>
      <c r="D26" s="59">
        <f t="shared" ref="D26:AF26" si="17">D27</f>
        <v>6.7</v>
      </c>
      <c r="E26" s="59">
        <f t="shared" si="17"/>
        <v>6.7</v>
      </c>
      <c r="F26" s="59">
        <f t="shared" si="17"/>
        <v>6.7</v>
      </c>
      <c r="G26" s="59">
        <f t="shared" si="17"/>
        <v>6.7</v>
      </c>
      <c r="H26" s="59">
        <f t="shared" si="12"/>
        <v>100</v>
      </c>
      <c r="I26" s="59">
        <f t="shared" si="13"/>
        <v>100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6.7</v>
      </c>
      <c r="AH26" s="60"/>
      <c r="AI26" s="20"/>
    </row>
    <row r="27" spans="1:35" s="22" customFormat="1" ht="58.5" customHeight="1" x14ac:dyDescent="0.25">
      <c r="A27" s="425"/>
      <c r="B27" s="452"/>
      <c r="C27" s="61" t="s">
        <v>21</v>
      </c>
      <c r="D27" s="62">
        <f>SUM(J27,L27,N27,P27,R27,T27,V27,X27,Z27,AB27,AD27,AF27)</f>
        <v>6.7</v>
      </c>
      <c r="E27" s="62">
        <f>J27+L27+N27+P27+R27+T27+V27+X27+Z27+AB27+AD27+AF27</f>
        <v>6.7</v>
      </c>
      <c r="F27" s="62">
        <f>G27</f>
        <v>6.7</v>
      </c>
      <c r="G27" s="62">
        <f>SUM(K27,M27,O27,Q27,S27,U27,W27,Y27,AA27,AC27,AE27,AG27)</f>
        <v>6.7</v>
      </c>
      <c r="H27" s="59">
        <f t="shared" si="12"/>
        <v>100</v>
      </c>
      <c r="I27" s="59">
        <f t="shared" si="13"/>
        <v>100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6.7</v>
      </c>
      <c r="AH27" s="342" t="s">
        <v>452</v>
      </c>
      <c r="AI27" s="20"/>
    </row>
    <row r="28" spans="1:35" s="22" customFormat="1" ht="25.5" customHeight="1" x14ac:dyDescent="0.25">
      <c r="A28" s="118" t="s">
        <v>156</v>
      </c>
      <c r="B28" s="415" t="s">
        <v>200</v>
      </c>
      <c r="C28" s="416"/>
      <c r="D28" s="416"/>
      <c r="E28" s="416"/>
      <c r="F28" s="416"/>
      <c r="G28" s="416"/>
      <c r="H28" s="416"/>
      <c r="I28" s="416"/>
      <c r="J28" s="416"/>
      <c r="K28" s="416"/>
      <c r="L28" s="416"/>
      <c r="M28" s="416"/>
      <c r="N28" s="416"/>
      <c r="O28" s="416"/>
      <c r="P28" s="416"/>
      <c r="Q28" s="416"/>
      <c r="R28" s="416"/>
      <c r="S28" s="416"/>
      <c r="T28" s="416"/>
      <c r="U28" s="416"/>
      <c r="V28" s="416"/>
      <c r="W28" s="416"/>
      <c r="X28" s="416"/>
      <c r="Y28" s="416"/>
      <c r="Z28" s="416"/>
      <c r="AA28" s="416"/>
      <c r="AB28" s="416"/>
      <c r="AC28" s="416"/>
      <c r="AD28" s="416"/>
      <c r="AE28" s="416"/>
      <c r="AF28" s="416"/>
      <c r="AG28" s="417"/>
      <c r="AH28" s="60"/>
      <c r="AI28" s="20"/>
    </row>
    <row r="29" spans="1:35" s="30" customFormat="1" ht="50.25" customHeight="1" x14ac:dyDescent="0.25">
      <c r="A29" s="412" t="s">
        <v>63</v>
      </c>
      <c r="B29" s="465" t="s">
        <v>201</v>
      </c>
      <c r="C29" s="69" t="s">
        <v>20</v>
      </c>
      <c r="D29" s="70">
        <f>D30</f>
        <v>0</v>
      </c>
      <c r="E29" s="70">
        <f t="shared" ref="E29:AG29" si="18">E30</f>
        <v>0</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0</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13"/>
      <c r="B30" s="467"/>
      <c r="C30" s="73" t="s">
        <v>21</v>
      </c>
      <c r="D30" s="74">
        <f>SUM(J30,L30,N30,P30,R30,T30,V30,X30,Z30,AB30,AD30,AF30)</f>
        <v>0</v>
      </c>
      <c r="E30" s="74">
        <f>J30+L30+N30+P30+R30+T30+V30+X30+Z30+AB30+AD30+AF30</f>
        <v>0</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0</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12"/>
      <c r="B31" s="451" t="s">
        <v>202</v>
      </c>
      <c r="C31" s="69" t="s">
        <v>20</v>
      </c>
      <c r="D31" s="71">
        <f t="shared" ref="D31:AF31" si="20">SUM(D32:D32)</f>
        <v>0</v>
      </c>
      <c r="E31" s="71">
        <f t="shared" si="20"/>
        <v>0</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0</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13"/>
      <c r="B32" s="501"/>
      <c r="C32" s="73" t="s">
        <v>21</v>
      </c>
      <c r="D32" s="74">
        <f>SUM(J32,L32,N32,P32,R32,T32,V32,X32,Z32,AB32,AD32,AF32)</f>
        <v>0</v>
      </c>
      <c r="E32" s="74">
        <f>J32+L32+N32+P32+R32+T32+V32+X32+Z32+AB32+AD32+AF32</f>
        <v>0</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0</v>
      </c>
      <c r="W32" s="67">
        <v>0</v>
      </c>
      <c r="X32" s="67">
        <v>0</v>
      </c>
      <c r="Y32" s="67">
        <v>0</v>
      </c>
      <c r="Z32" s="67">
        <v>0</v>
      </c>
      <c r="AA32" s="67">
        <v>0</v>
      </c>
      <c r="AB32" s="67">
        <v>0</v>
      </c>
      <c r="AC32" s="67">
        <v>0</v>
      </c>
      <c r="AD32" s="67">
        <v>0</v>
      </c>
      <c r="AE32" s="67">
        <v>0</v>
      </c>
      <c r="AF32" s="67">
        <v>0</v>
      </c>
      <c r="AG32" s="67">
        <v>0</v>
      </c>
      <c r="AH32" s="343" t="s">
        <v>457</v>
      </c>
    </row>
  </sheetData>
  <customSheetViews>
    <customSheetView guid="{133BB3F8-8DD4-4AEF-8CD6-A5FB14681329}" scale="70">
      <pane xSplit="6" ySplit="7" topLeftCell="S23" activePane="bottomRight" state="frozen"/>
      <selection pane="bottomRight" activeCell="AE25" sqref="AE25"/>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3"/>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4"/>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7"/>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8"/>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9"/>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0"/>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1"/>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2"/>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3"/>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5"/>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6"/>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7"/>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18"/>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19"/>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20"/>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1"/>
    </customSheetView>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22"/>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23"/>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24"/>
    </customSheetView>
    <customSheetView guid="{2940A182-D1A7-43C5-8D6E-965BED4371B0}" scale="70">
      <pane xSplit="6" ySplit="7" topLeftCell="G44" activePane="bottomRight" state="frozen"/>
      <selection pane="bottomRight" activeCell="H42" sqref="H42"/>
      <pageMargins left="0.7" right="0.7" top="0.75" bottom="0.75" header="0.3" footer="0.3"/>
      <pageSetup paperSize="9" orientation="portrait" r:id="rId25"/>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26"/>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27"/>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28"/>
    </customSheetView>
  </customSheetViews>
  <mergeCells count="4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activeCell="C14" sqref="C14"/>
      <selection pane="topRight" activeCell="C14" sqref="C14"/>
      <selection pane="bottomLeft" activeCell="C14" sqref="C14"/>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72" t="s">
        <v>24</v>
      </c>
      <c r="D2" s="472"/>
      <c r="E2" s="472"/>
      <c r="F2" s="472"/>
      <c r="G2" s="472"/>
      <c r="H2" s="472"/>
      <c r="I2" s="472"/>
      <c r="J2" s="472"/>
      <c r="K2" s="472"/>
      <c r="L2" s="472"/>
      <c r="M2" s="472"/>
      <c r="N2" s="472"/>
      <c r="O2" s="472"/>
      <c r="P2" s="472"/>
      <c r="Q2" s="472"/>
      <c r="R2" s="472"/>
      <c r="S2" s="472"/>
      <c r="T2" s="93"/>
      <c r="U2" s="93"/>
      <c r="V2" s="93"/>
      <c r="W2" s="93"/>
      <c r="X2" s="93"/>
      <c r="Y2" s="93"/>
      <c r="Z2" s="93"/>
      <c r="AA2" s="93"/>
      <c r="AB2" s="93"/>
      <c r="AC2" s="93"/>
      <c r="AD2" s="93"/>
      <c r="AE2" s="93"/>
      <c r="AF2" s="93"/>
      <c r="AG2" s="93"/>
      <c r="AH2" s="93"/>
    </row>
    <row r="3" spans="1:35" ht="36.75" customHeight="1" x14ac:dyDescent="0.25">
      <c r="A3" s="92"/>
      <c r="B3" s="92"/>
      <c r="C3" s="473" t="s">
        <v>158</v>
      </c>
      <c r="D3" s="473"/>
      <c r="E3" s="473"/>
      <c r="F3" s="473"/>
      <c r="G3" s="473"/>
      <c r="H3" s="473"/>
      <c r="I3" s="473"/>
      <c r="J3" s="473"/>
      <c r="K3" s="473"/>
      <c r="L3" s="473"/>
      <c r="M3" s="473"/>
      <c r="N3" s="473"/>
      <c r="O3" s="473"/>
      <c r="P3" s="473"/>
      <c r="Q3" s="473"/>
      <c r="R3" s="473"/>
      <c r="S3" s="473"/>
      <c r="T3" s="94"/>
      <c r="U3" s="94"/>
      <c r="V3" s="94"/>
      <c r="W3" s="94"/>
      <c r="X3" s="94"/>
      <c r="Y3" s="94"/>
      <c r="Z3" s="94"/>
      <c r="AA3" s="94"/>
      <c r="AB3" s="94"/>
      <c r="AC3" s="94"/>
      <c r="AD3" s="95"/>
      <c r="AE3" s="95"/>
      <c r="AF3" s="95"/>
      <c r="AG3" s="37" t="s">
        <v>0</v>
      </c>
      <c r="AH3" s="95"/>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45962</v>
      </c>
      <c r="F6" s="39">
        <v>45962</v>
      </c>
      <c r="G6" s="228">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59" t="s">
        <v>23</v>
      </c>
      <c r="C8" s="57" t="s">
        <v>20</v>
      </c>
      <c r="D8" s="82">
        <f>D9+D10+D11</f>
        <v>170785.88759999999</v>
      </c>
      <c r="E8" s="58">
        <f>E9+E10+E11</f>
        <v>149681.03552</v>
      </c>
      <c r="F8" s="58">
        <f>F9+F10+F11</f>
        <v>136440.51489999998</v>
      </c>
      <c r="G8" s="265">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88"/>
      <c r="B9" s="460"/>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88"/>
      <c r="B10" s="460"/>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88"/>
      <c r="B11" s="460"/>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502" t="s">
        <v>159</v>
      </c>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4"/>
      <c r="AH12" s="75"/>
    </row>
    <row r="13" spans="1:35" s="21" customFormat="1" ht="148.5" customHeight="1" x14ac:dyDescent="0.25">
      <c r="A13" s="487" t="s">
        <v>152</v>
      </c>
      <c r="B13" s="459" t="s">
        <v>160</v>
      </c>
      <c r="C13" s="57" t="s">
        <v>20</v>
      </c>
      <c r="D13" s="58">
        <f>D14</f>
        <v>899.2</v>
      </c>
      <c r="E13" s="58">
        <f>E14</f>
        <v>899.2</v>
      </c>
      <c r="F13" s="58">
        <f>F14</f>
        <v>347.95555999999999</v>
      </c>
      <c r="G13" s="82">
        <f>G14</f>
        <v>347.95555999999999</v>
      </c>
      <c r="H13" s="58">
        <f>IFERROR(G13/D13*100,0)</f>
        <v>38.696125444839858</v>
      </c>
      <c r="I13" s="58">
        <f>IFERROR(G13/E13*100,0)</f>
        <v>38.696125444839858</v>
      </c>
      <c r="J13" s="246">
        <f t="shared" ref="J13:AG13" si="4">J14</f>
        <v>0</v>
      </c>
      <c r="K13" s="246">
        <f>K14</f>
        <v>0</v>
      </c>
      <c r="L13" s="246">
        <f t="shared" si="4"/>
        <v>0</v>
      </c>
      <c r="M13" s="246">
        <f t="shared" si="4"/>
        <v>0</v>
      </c>
      <c r="N13" s="246">
        <f t="shared" si="4"/>
        <v>400</v>
      </c>
      <c r="O13" s="246">
        <f t="shared" si="4"/>
        <v>299</v>
      </c>
      <c r="P13" s="246">
        <f t="shared" si="4"/>
        <v>0</v>
      </c>
      <c r="Q13" s="246">
        <f t="shared" si="4"/>
        <v>0</v>
      </c>
      <c r="R13" s="246">
        <f t="shared" si="4"/>
        <v>0</v>
      </c>
      <c r="S13" s="246">
        <f t="shared" si="4"/>
        <v>30.94172</v>
      </c>
      <c r="T13" s="246">
        <f t="shared" si="4"/>
        <v>200.2</v>
      </c>
      <c r="U13" s="246">
        <f t="shared" si="4"/>
        <v>8.2511600000000005</v>
      </c>
      <c r="V13" s="246">
        <f t="shared" si="4"/>
        <v>0</v>
      </c>
      <c r="W13" s="246">
        <f t="shared" si="4"/>
        <v>0</v>
      </c>
      <c r="X13" s="246">
        <f t="shared" si="4"/>
        <v>0</v>
      </c>
      <c r="Y13" s="246">
        <f t="shared" si="4"/>
        <v>0</v>
      </c>
      <c r="Z13" s="246">
        <f t="shared" si="4"/>
        <v>0</v>
      </c>
      <c r="AA13" s="246">
        <f t="shared" si="4"/>
        <v>0</v>
      </c>
      <c r="AB13" s="246">
        <f t="shared" si="4"/>
        <v>299</v>
      </c>
      <c r="AC13" s="246">
        <f t="shared" si="4"/>
        <v>9.7626799999999996</v>
      </c>
      <c r="AD13" s="246">
        <f t="shared" si="4"/>
        <v>0</v>
      </c>
      <c r="AE13" s="246">
        <f t="shared" si="4"/>
        <v>0</v>
      </c>
      <c r="AF13" s="246">
        <f t="shared" si="4"/>
        <v>0</v>
      </c>
      <c r="AG13" s="246">
        <f t="shared" si="4"/>
        <v>0</v>
      </c>
      <c r="AH13" s="374" t="s">
        <v>406</v>
      </c>
      <c r="AI13" s="23"/>
    </row>
    <row r="14" spans="1:35" s="21" customFormat="1" ht="105.75" customHeight="1" x14ac:dyDescent="0.25">
      <c r="A14" s="489"/>
      <c r="B14" s="461"/>
      <c r="C14" s="241"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3">
        <v>0</v>
      </c>
      <c r="K14" s="233">
        <v>0</v>
      </c>
      <c r="L14" s="233">
        <v>0</v>
      </c>
      <c r="M14" s="233">
        <v>0</v>
      </c>
      <c r="N14" s="233">
        <v>400</v>
      </c>
      <c r="O14" s="233">
        <v>299</v>
      </c>
      <c r="P14" s="233">
        <v>0</v>
      </c>
      <c r="Q14" s="233">
        <v>0</v>
      </c>
      <c r="R14" s="233">
        <v>0</v>
      </c>
      <c r="S14" s="233">
        <v>30.94172</v>
      </c>
      <c r="T14" s="233">
        <v>200.2</v>
      </c>
      <c r="U14" s="233">
        <v>8.2511600000000005</v>
      </c>
      <c r="V14" s="233">
        <v>0</v>
      </c>
      <c r="W14" s="233">
        <v>0</v>
      </c>
      <c r="X14" s="233">
        <v>0</v>
      </c>
      <c r="Y14" s="233">
        <v>0</v>
      </c>
      <c r="Z14" s="233">
        <v>0</v>
      </c>
      <c r="AA14" s="233">
        <v>0</v>
      </c>
      <c r="AB14" s="233">
        <v>299</v>
      </c>
      <c r="AC14" s="233">
        <v>9.7626799999999996</v>
      </c>
      <c r="AD14" s="233">
        <v>0</v>
      </c>
      <c r="AE14" s="233">
        <v>0</v>
      </c>
      <c r="AF14" s="233">
        <v>0</v>
      </c>
      <c r="AG14" s="233">
        <v>0</v>
      </c>
      <c r="AH14" s="60"/>
      <c r="AI14" s="23"/>
    </row>
    <row r="15" spans="1:35" s="26" customFormat="1" ht="18.75" customHeight="1" x14ac:dyDescent="0.25">
      <c r="A15" s="132" t="s">
        <v>153</v>
      </c>
      <c r="B15" s="502" t="s">
        <v>161</v>
      </c>
      <c r="C15" s="503"/>
      <c r="D15" s="503"/>
      <c r="E15" s="503"/>
      <c r="F15" s="503"/>
      <c r="G15" s="503"/>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4"/>
      <c r="AH15" s="75"/>
    </row>
    <row r="16" spans="1:35" s="21" customFormat="1" ht="126.75" customHeight="1" x14ac:dyDescent="0.25">
      <c r="A16" s="487" t="s">
        <v>162</v>
      </c>
      <c r="B16" s="459" t="s">
        <v>163</v>
      </c>
      <c r="C16" s="57" t="s">
        <v>20</v>
      </c>
      <c r="D16" s="58">
        <f>D17</f>
        <v>38352.399720000009</v>
      </c>
      <c r="E16" s="58">
        <f>E17</f>
        <v>32163.889530000004</v>
      </c>
      <c r="F16" s="58">
        <f>F17</f>
        <v>26428.900290000001</v>
      </c>
      <c r="G16" s="265">
        <f>G17</f>
        <v>26428.900290000001</v>
      </c>
      <c r="H16" s="58">
        <f t="shared" ref="H16:H21" si="5">IFERROR(G16/D16*100,0)</f>
        <v>68.910682207501765</v>
      </c>
      <c r="I16" s="58">
        <f t="shared" ref="I16:I21" si="6">IFERROR(G16/E16*100,0)</f>
        <v>82.16947849341777</v>
      </c>
      <c r="J16" s="246">
        <f t="shared" ref="J16:AG16" si="7">J17</f>
        <v>2602.25432</v>
      </c>
      <c r="K16" s="246">
        <f t="shared" si="7"/>
        <v>1757.0483200000001</v>
      </c>
      <c r="L16" s="246">
        <f t="shared" si="7"/>
        <v>3489.15461</v>
      </c>
      <c r="M16" s="246">
        <f t="shared" si="7"/>
        <v>1902.97363</v>
      </c>
      <c r="N16" s="246">
        <f t="shared" si="7"/>
        <v>1227.7879399999999</v>
      </c>
      <c r="O16" s="246">
        <f t="shared" si="7"/>
        <v>1444.02099</v>
      </c>
      <c r="P16" s="246">
        <f t="shared" si="7"/>
        <v>7711.54457</v>
      </c>
      <c r="Q16" s="246">
        <f t="shared" si="7"/>
        <v>3280.39374</v>
      </c>
      <c r="R16" s="246">
        <f t="shared" si="7"/>
        <v>1852.07942</v>
      </c>
      <c r="S16" s="246">
        <f t="shared" si="7"/>
        <v>2319.4198500000002</v>
      </c>
      <c r="T16" s="246">
        <f t="shared" si="7"/>
        <v>2081.7179999999998</v>
      </c>
      <c r="U16" s="246">
        <f t="shared" si="7"/>
        <v>3366.8392600000002</v>
      </c>
      <c r="V16" s="246">
        <f t="shared" si="7"/>
        <v>7885.4738699999998</v>
      </c>
      <c r="W16" s="246">
        <f t="shared" si="7"/>
        <v>4531.6786300000003</v>
      </c>
      <c r="X16" s="246">
        <f t="shared" si="7"/>
        <v>1056.258</v>
      </c>
      <c r="Y16" s="246">
        <f t="shared" si="7"/>
        <v>2488.1683400000002</v>
      </c>
      <c r="Z16" s="246">
        <f t="shared" si="7"/>
        <v>907.79963999999995</v>
      </c>
      <c r="AA16" s="246">
        <f t="shared" si="7"/>
        <v>2478.7598600000001</v>
      </c>
      <c r="AB16" s="246">
        <f t="shared" si="7"/>
        <v>3349.81916</v>
      </c>
      <c r="AC16" s="246">
        <f t="shared" si="7"/>
        <v>2859.5976700000001</v>
      </c>
      <c r="AD16" s="246">
        <f t="shared" si="7"/>
        <v>820.1</v>
      </c>
      <c r="AE16" s="246">
        <f t="shared" si="7"/>
        <v>0</v>
      </c>
      <c r="AF16" s="246">
        <f t="shared" si="7"/>
        <v>5368.4101900000005</v>
      </c>
      <c r="AG16" s="246">
        <f t="shared" si="7"/>
        <v>0</v>
      </c>
      <c r="AH16" s="375" t="s">
        <v>407</v>
      </c>
      <c r="AI16" s="20"/>
    </row>
    <row r="17" spans="1:35" s="22" customFormat="1" ht="158.25" customHeight="1" x14ac:dyDescent="0.25">
      <c r="A17" s="489"/>
      <c r="B17" s="461"/>
      <c r="C17" s="241"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2">
        <f t="shared" si="5"/>
        <v>68.910682207501765</v>
      </c>
      <c r="I17" s="232">
        <f t="shared" si="6"/>
        <v>82.16947849341777</v>
      </c>
      <c r="J17" s="233">
        <v>2602.25432</v>
      </c>
      <c r="K17" s="233">
        <v>1757.0483200000001</v>
      </c>
      <c r="L17" s="233">
        <f>3282.855+206.29961</f>
        <v>3489.15461</v>
      </c>
      <c r="M17" s="233">
        <f>1696.67402+206.29961</f>
        <v>1902.97363</v>
      </c>
      <c r="N17" s="233">
        <f>1116.752+111.03594</f>
        <v>1227.7879399999999</v>
      </c>
      <c r="O17" s="233">
        <f>1332.98505+111.03594</f>
        <v>1444.02099</v>
      </c>
      <c r="P17" s="233">
        <f>7267.40081+444.14376</f>
        <v>7711.54457</v>
      </c>
      <c r="Q17" s="233">
        <f>2836.24998+444.14376</f>
        <v>3280.39374</v>
      </c>
      <c r="R17" s="233">
        <f>1717.948+134.13142</f>
        <v>1852.07942</v>
      </c>
      <c r="S17" s="233">
        <f>2185.28843+134.13142</f>
        <v>2319.4198500000002</v>
      </c>
      <c r="T17" s="233">
        <v>2081.7179999999998</v>
      </c>
      <c r="U17" s="233">
        <v>3366.8392600000002</v>
      </c>
      <c r="V17" s="233">
        <v>7885.4738699999998</v>
      </c>
      <c r="W17" s="233">
        <v>4531.6786300000003</v>
      </c>
      <c r="X17" s="233">
        <v>1056.258</v>
      </c>
      <c r="Y17" s="233">
        <v>2488.1683400000002</v>
      </c>
      <c r="Z17" s="233">
        <v>907.79963999999995</v>
      </c>
      <c r="AA17" s="233">
        <v>2478.7598600000001</v>
      </c>
      <c r="AB17" s="233">
        <v>3349.81916</v>
      </c>
      <c r="AC17" s="233">
        <v>2859.5976700000001</v>
      </c>
      <c r="AD17" s="233">
        <v>820.1</v>
      </c>
      <c r="AE17" s="233">
        <v>0</v>
      </c>
      <c r="AF17" s="233">
        <f>3414.121+1151.20039+803.0888</f>
        <v>5368.4101900000005</v>
      </c>
      <c r="AG17" s="377">
        <v>0</v>
      </c>
      <c r="AH17" s="378" t="s">
        <v>408</v>
      </c>
      <c r="AI17" s="20"/>
    </row>
    <row r="18" spans="1:35" s="21" customFormat="1" ht="147.75" customHeight="1" x14ac:dyDescent="0.25">
      <c r="A18" s="487" t="s">
        <v>155</v>
      </c>
      <c r="B18" s="459" t="s">
        <v>164</v>
      </c>
      <c r="C18" s="57" t="s">
        <v>20</v>
      </c>
      <c r="D18" s="83">
        <f>D19+D20+D21</f>
        <v>9016.9199900000003</v>
      </c>
      <c r="E18" s="59">
        <f>E19+E20+E21</f>
        <v>7816.8759899999986</v>
      </c>
      <c r="F18" s="59">
        <f>F19+F20+F21</f>
        <v>6951.8027100000008</v>
      </c>
      <c r="G18" s="266">
        <f>G19+G20+G21</f>
        <v>6951.8027100000008</v>
      </c>
      <c r="H18" s="59">
        <f t="shared" si="5"/>
        <v>77.09730947717992</v>
      </c>
      <c r="I18" s="59">
        <f t="shared" si="6"/>
        <v>88.933260792333513</v>
      </c>
      <c r="J18" s="246">
        <f t="shared" ref="J18:AG18" si="8">J19+J20+J21</f>
        <v>811.04154000000005</v>
      </c>
      <c r="K18" s="246">
        <f t="shared" si="8"/>
        <v>612.34142999999995</v>
      </c>
      <c r="L18" s="246">
        <f t="shared" si="8"/>
        <v>753.69100000000003</v>
      </c>
      <c r="M18" s="246">
        <f t="shared" si="8"/>
        <v>794.68974000000003</v>
      </c>
      <c r="N18" s="246">
        <f t="shared" si="8"/>
        <v>477.50599999999997</v>
      </c>
      <c r="O18" s="246">
        <f t="shared" si="8"/>
        <v>572.06002999999998</v>
      </c>
      <c r="P18" s="246">
        <f t="shared" si="8"/>
        <v>816.18115</v>
      </c>
      <c r="Q18" s="246">
        <f t="shared" si="8"/>
        <v>653.27978000000007</v>
      </c>
      <c r="R18" s="246">
        <f t="shared" si="8"/>
        <v>826.57899999999995</v>
      </c>
      <c r="S18" s="246">
        <f t="shared" si="8"/>
        <v>678.62918000000002</v>
      </c>
      <c r="T18" s="246">
        <f t="shared" si="8"/>
        <v>620.90798999999993</v>
      </c>
      <c r="U18" s="246">
        <f t="shared" si="8"/>
        <v>768.07577000000003</v>
      </c>
      <c r="V18" s="246">
        <f t="shared" si="8"/>
        <v>932.41714999999999</v>
      </c>
      <c r="W18" s="246">
        <f t="shared" si="8"/>
        <v>699.46643000000006</v>
      </c>
      <c r="X18" s="246">
        <f t="shared" si="8"/>
        <v>930.66300000000001</v>
      </c>
      <c r="Y18" s="246">
        <f t="shared" si="8"/>
        <v>874.17074000000002</v>
      </c>
      <c r="Z18" s="246">
        <f t="shared" si="8"/>
        <v>672.37</v>
      </c>
      <c r="AA18" s="246">
        <f t="shared" si="8"/>
        <v>676.26324</v>
      </c>
      <c r="AB18" s="246">
        <f t="shared" si="8"/>
        <v>975.51916000000006</v>
      </c>
      <c r="AC18" s="246">
        <f t="shared" si="8"/>
        <v>622.82637</v>
      </c>
      <c r="AD18" s="246">
        <f t="shared" si="8"/>
        <v>609.55600000000004</v>
      </c>
      <c r="AE18" s="246">
        <f t="shared" si="8"/>
        <v>0</v>
      </c>
      <c r="AF18" s="246">
        <f t="shared" si="8"/>
        <v>590.48800000000006</v>
      </c>
      <c r="AG18" s="246">
        <f t="shared" si="8"/>
        <v>0</v>
      </c>
      <c r="AH18" s="374" t="s">
        <v>409</v>
      </c>
      <c r="AI18" s="20"/>
    </row>
    <row r="19" spans="1:35" s="21" customFormat="1" ht="45.75" customHeight="1" x14ac:dyDescent="0.25">
      <c r="A19" s="488"/>
      <c r="B19" s="460"/>
      <c r="C19" s="241"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3">
        <v>533.65200000000004</v>
      </c>
      <c r="K19" s="233">
        <v>407.34699999999998</v>
      </c>
      <c r="L19" s="233">
        <v>734.69100000000003</v>
      </c>
      <c r="M19" s="233">
        <v>781.77151000000003</v>
      </c>
      <c r="N19" s="233">
        <v>326.40600000000001</v>
      </c>
      <c r="O19" s="233">
        <v>348.72284000000002</v>
      </c>
      <c r="P19" s="233">
        <v>614.40700000000004</v>
      </c>
      <c r="Q19" s="233">
        <v>453.94542000000001</v>
      </c>
      <c r="R19" s="233">
        <v>649.43899999999996</v>
      </c>
      <c r="S19" s="233">
        <v>678.62918000000002</v>
      </c>
      <c r="T19" s="233">
        <v>296.709</v>
      </c>
      <c r="U19" s="233">
        <v>427.98540000000003</v>
      </c>
      <c r="V19" s="233">
        <v>546.70699999999999</v>
      </c>
      <c r="W19" s="233">
        <v>488.57035000000002</v>
      </c>
      <c r="X19" s="233">
        <v>705.66300000000001</v>
      </c>
      <c r="Y19" s="233">
        <v>808.19493999999997</v>
      </c>
      <c r="Z19" s="233">
        <v>642.37</v>
      </c>
      <c r="AA19" s="233">
        <v>597.96470999999997</v>
      </c>
      <c r="AB19" s="233">
        <v>384.56900000000002</v>
      </c>
      <c r="AC19" s="233">
        <v>307.68378000000001</v>
      </c>
      <c r="AD19" s="233">
        <v>464.73599999999999</v>
      </c>
      <c r="AE19" s="233">
        <v>0</v>
      </c>
      <c r="AF19" s="233">
        <v>479.65100000000001</v>
      </c>
      <c r="AG19" s="233">
        <v>0</v>
      </c>
      <c r="AH19" s="60"/>
      <c r="AI19" s="20"/>
    </row>
    <row r="20" spans="1:35" s="21" customFormat="1" ht="52.5" customHeight="1" x14ac:dyDescent="0.25">
      <c r="A20" s="488"/>
      <c r="B20" s="460"/>
      <c r="C20" s="241"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3">
        <v>277.38954000000001</v>
      </c>
      <c r="K20" s="233">
        <v>204.99442999999999</v>
      </c>
      <c r="L20" s="233">
        <v>19</v>
      </c>
      <c r="M20" s="233">
        <v>12.918229999999999</v>
      </c>
      <c r="N20" s="233">
        <v>151.1</v>
      </c>
      <c r="O20" s="233">
        <v>223.33718999999999</v>
      </c>
      <c r="P20" s="233">
        <v>201.77414999999999</v>
      </c>
      <c r="Q20" s="233">
        <v>199.33436</v>
      </c>
      <c r="R20" s="233">
        <v>177.14</v>
      </c>
      <c r="S20" s="233">
        <v>0</v>
      </c>
      <c r="T20" s="233">
        <v>324.19898999999998</v>
      </c>
      <c r="U20" s="233">
        <v>340.09037000000001</v>
      </c>
      <c r="V20" s="233">
        <v>385.71015</v>
      </c>
      <c r="W20" s="233">
        <v>210.89608000000001</v>
      </c>
      <c r="X20" s="233">
        <v>225</v>
      </c>
      <c r="Y20" s="233">
        <v>65.975800000000007</v>
      </c>
      <c r="Z20" s="233">
        <v>30</v>
      </c>
      <c r="AA20" s="233">
        <v>78.29853</v>
      </c>
      <c r="AB20" s="233">
        <v>590.95015999999998</v>
      </c>
      <c r="AC20" s="233">
        <v>315.14258999999998</v>
      </c>
      <c r="AD20" s="233">
        <v>66.7</v>
      </c>
      <c r="AE20" s="233">
        <v>0</v>
      </c>
      <c r="AF20" s="233">
        <v>110.837</v>
      </c>
      <c r="AG20" s="233">
        <v>0</v>
      </c>
      <c r="AH20" s="60"/>
      <c r="AI20" s="20"/>
    </row>
    <row r="21" spans="1:35" s="22" customFormat="1" ht="53.25" customHeight="1" x14ac:dyDescent="0.25">
      <c r="A21" s="489"/>
      <c r="B21" s="461"/>
      <c r="C21" s="241"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3">
        <v>0</v>
      </c>
      <c r="K21" s="233">
        <v>0</v>
      </c>
      <c r="L21" s="233">
        <v>0</v>
      </c>
      <c r="M21" s="233">
        <v>0</v>
      </c>
      <c r="N21" s="233">
        <v>0</v>
      </c>
      <c r="O21" s="233">
        <v>0</v>
      </c>
      <c r="P21" s="233">
        <v>0</v>
      </c>
      <c r="Q21" s="233">
        <v>0</v>
      </c>
      <c r="R21" s="233">
        <v>0</v>
      </c>
      <c r="S21" s="233">
        <v>0</v>
      </c>
      <c r="T21" s="233">
        <v>0</v>
      </c>
      <c r="U21" s="233">
        <v>0</v>
      </c>
      <c r="V21" s="233">
        <v>0</v>
      </c>
      <c r="W21" s="233">
        <v>0</v>
      </c>
      <c r="X21" s="233">
        <v>0</v>
      </c>
      <c r="Y21" s="233">
        <v>0</v>
      </c>
      <c r="Z21" s="233">
        <v>0</v>
      </c>
      <c r="AA21" s="233">
        <v>0</v>
      </c>
      <c r="AB21" s="233">
        <v>0</v>
      </c>
      <c r="AC21" s="233">
        <v>0</v>
      </c>
      <c r="AD21" s="233">
        <v>78.12</v>
      </c>
      <c r="AE21" s="233">
        <v>0</v>
      </c>
      <c r="AF21" s="233">
        <v>0</v>
      </c>
      <c r="AG21" s="233">
        <v>0</v>
      </c>
      <c r="AH21" s="64"/>
      <c r="AI21" s="20"/>
    </row>
    <row r="22" spans="1:35" s="26" customFormat="1" ht="18.75" customHeight="1" x14ac:dyDescent="0.25">
      <c r="A22" s="132" t="s">
        <v>156</v>
      </c>
      <c r="B22" s="502" t="s">
        <v>165</v>
      </c>
      <c r="C22" s="503"/>
      <c r="D22" s="503"/>
      <c r="E22" s="503"/>
      <c r="F22" s="503"/>
      <c r="G22" s="503"/>
      <c r="H22" s="503"/>
      <c r="I22" s="503"/>
      <c r="J22" s="503"/>
      <c r="K22" s="503"/>
      <c r="L22" s="503"/>
      <c r="M22" s="503"/>
      <c r="N22" s="503"/>
      <c r="O22" s="503"/>
      <c r="P22" s="503"/>
      <c r="Q22" s="503"/>
      <c r="R22" s="503"/>
      <c r="S22" s="503"/>
      <c r="T22" s="503"/>
      <c r="U22" s="503"/>
      <c r="V22" s="503"/>
      <c r="W22" s="503"/>
      <c r="X22" s="503"/>
      <c r="Y22" s="503"/>
      <c r="Z22" s="503"/>
      <c r="AA22" s="503"/>
      <c r="AB22" s="503"/>
      <c r="AC22" s="503"/>
      <c r="AD22" s="503"/>
      <c r="AE22" s="503"/>
      <c r="AF22" s="503"/>
      <c r="AG22" s="504"/>
      <c r="AH22" s="75"/>
    </row>
    <row r="23" spans="1:35" s="131" customFormat="1" ht="112.5" customHeight="1" x14ac:dyDescent="0.25">
      <c r="A23" s="487" t="s">
        <v>157</v>
      </c>
      <c r="B23" s="459" t="s">
        <v>166</v>
      </c>
      <c r="C23" s="57" t="s">
        <v>20</v>
      </c>
      <c r="D23" s="82">
        <f>D24</f>
        <v>122517.36788999999</v>
      </c>
      <c r="E23" s="58">
        <f>E24</f>
        <v>108801.06999999999</v>
      </c>
      <c r="F23" s="58">
        <f>F24</f>
        <v>102711.85634</v>
      </c>
      <c r="G23" s="265">
        <f>G24</f>
        <v>102711.85634</v>
      </c>
      <c r="H23" s="58">
        <f>IFERROR(G23/D23*100,0)</f>
        <v>83.834527388980462</v>
      </c>
      <c r="I23" s="58">
        <f>IFERROR(G23/E23*100,0)</f>
        <v>94.40335130895312</v>
      </c>
      <c r="J23" s="372">
        <f t="shared" ref="J23:AG23" si="9">J24</f>
        <v>17145.027999999998</v>
      </c>
      <c r="K23" s="372">
        <f t="shared" si="9"/>
        <v>8806.2244300000002</v>
      </c>
      <c r="L23" s="372">
        <f t="shared" si="9"/>
        <v>10685.566000000001</v>
      </c>
      <c r="M23" s="372">
        <f t="shared" si="9"/>
        <v>12161.342049999999</v>
      </c>
      <c r="N23" s="372">
        <f t="shared" si="9"/>
        <v>8218.2867600000009</v>
      </c>
      <c r="O23" s="372">
        <f t="shared" si="9"/>
        <v>9820.1337199999998</v>
      </c>
      <c r="P23" s="372">
        <f t="shared" si="9"/>
        <v>12370.266240000001</v>
      </c>
      <c r="Q23" s="372">
        <f t="shared" si="9"/>
        <v>8989.7078399999991</v>
      </c>
      <c r="R23" s="372">
        <f t="shared" si="9"/>
        <v>10407.286</v>
      </c>
      <c r="S23" s="372">
        <f t="shared" si="9"/>
        <v>10470.558940000001</v>
      </c>
      <c r="T23" s="372">
        <f t="shared" si="9"/>
        <v>8216.5519999999997</v>
      </c>
      <c r="U23" s="372">
        <f t="shared" si="9"/>
        <v>9882.2743200000004</v>
      </c>
      <c r="V23" s="372">
        <f t="shared" si="9"/>
        <v>13570.646000000001</v>
      </c>
      <c r="W23" s="372">
        <f t="shared" si="9"/>
        <v>10649.06753</v>
      </c>
      <c r="X23" s="372">
        <f t="shared" si="9"/>
        <v>10001.063</v>
      </c>
      <c r="Y23" s="372">
        <f t="shared" si="9"/>
        <v>8164.5059000000001</v>
      </c>
      <c r="Z23" s="372">
        <f t="shared" si="9"/>
        <v>8268.0120000000006</v>
      </c>
      <c r="AA23" s="372">
        <f t="shared" si="9"/>
        <v>14224.37054</v>
      </c>
      <c r="AB23" s="372">
        <f t="shared" si="9"/>
        <v>9918.3639999999996</v>
      </c>
      <c r="AC23" s="246">
        <f t="shared" si="9"/>
        <v>9543.6710700000003</v>
      </c>
      <c r="AD23" s="246">
        <f t="shared" si="9"/>
        <v>8766.0938900000001</v>
      </c>
      <c r="AE23" s="246">
        <f t="shared" si="9"/>
        <v>0</v>
      </c>
      <c r="AF23" s="246">
        <f t="shared" si="9"/>
        <v>4950.2039999999997</v>
      </c>
      <c r="AG23" s="246">
        <f t="shared" si="9"/>
        <v>0</v>
      </c>
      <c r="AH23" s="376" t="s">
        <v>410</v>
      </c>
      <c r="AI23" s="19"/>
    </row>
    <row r="24" spans="1:35" s="18" customFormat="1" ht="115.5" customHeight="1" x14ac:dyDescent="0.25">
      <c r="A24" s="489"/>
      <c r="B24" s="461"/>
      <c r="C24" s="241"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3">
        <v>17145.027999999998</v>
      </c>
      <c r="K24" s="373">
        <v>8806.2244300000002</v>
      </c>
      <c r="L24" s="373">
        <v>10685.566000000001</v>
      </c>
      <c r="M24" s="373">
        <v>12161.342049999999</v>
      </c>
      <c r="N24" s="373">
        <v>8218.2867600000009</v>
      </c>
      <c r="O24" s="373">
        <v>9820.1337199999998</v>
      </c>
      <c r="P24" s="373">
        <v>12370.266240000001</v>
      </c>
      <c r="Q24" s="373">
        <v>8989.7078399999991</v>
      </c>
      <c r="R24" s="373">
        <v>10407.286</v>
      </c>
      <c r="S24" s="373">
        <v>10470.558940000001</v>
      </c>
      <c r="T24" s="373">
        <v>8216.5519999999997</v>
      </c>
      <c r="U24" s="373">
        <v>9882.2743200000004</v>
      </c>
      <c r="V24" s="373">
        <v>13570.646000000001</v>
      </c>
      <c r="W24" s="373">
        <v>10649.06753</v>
      </c>
      <c r="X24" s="373">
        <v>10001.063</v>
      </c>
      <c r="Y24" s="373">
        <v>8164.5059000000001</v>
      </c>
      <c r="Z24" s="373">
        <v>8268.0120000000006</v>
      </c>
      <c r="AA24" s="373">
        <v>14224.37054</v>
      </c>
      <c r="AB24" s="373">
        <v>9918.3639999999996</v>
      </c>
      <c r="AC24" s="233">
        <v>9543.6710700000003</v>
      </c>
      <c r="AD24" s="373">
        <v>8766.0938900000001</v>
      </c>
      <c r="AE24" s="233">
        <v>0</v>
      </c>
      <c r="AF24" s="233">
        <v>4950.2039999999997</v>
      </c>
      <c r="AG24" s="233">
        <v>0</v>
      </c>
      <c r="AH24" s="379"/>
      <c r="AI24" s="19"/>
    </row>
    <row r="25" spans="1:35" s="10" customFormat="1" x14ac:dyDescent="0.25">
      <c r="C25" s="17"/>
    </row>
  </sheetData>
  <customSheetViews>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1"/>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3"/>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4"/>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5"/>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6"/>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7"/>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8"/>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9"/>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0"/>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1"/>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2"/>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3"/>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5"/>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6"/>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7"/>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18"/>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19"/>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20"/>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1"/>
    </customSheetView>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22"/>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23"/>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24"/>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25"/>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26"/>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27"/>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28"/>
    </customSheetView>
  </customSheetViews>
  <mergeCells count="36">
    <mergeCell ref="B15:AG15"/>
    <mergeCell ref="B22:AG22"/>
    <mergeCell ref="A18:A21"/>
    <mergeCell ref="B18:B21"/>
    <mergeCell ref="A23:A24"/>
    <mergeCell ref="B23:B24"/>
    <mergeCell ref="A16:A17"/>
    <mergeCell ref="B16:B17"/>
    <mergeCell ref="A13:A14"/>
    <mergeCell ref="B13:B14"/>
    <mergeCell ref="V4:W5"/>
    <mergeCell ref="X4:Y5"/>
    <mergeCell ref="Z4:AA5"/>
    <mergeCell ref="G4:G5"/>
    <mergeCell ref="H4:I5"/>
    <mergeCell ref="AH4:AH6"/>
    <mergeCell ref="A8:A11"/>
    <mergeCell ref="B8:B11"/>
    <mergeCell ref="B12:AG12"/>
    <mergeCell ref="AD4:AE5"/>
    <mergeCell ref="AF4:AG5"/>
    <mergeCell ref="R4:S5"/>
    <mergeCell ref="T4:U5"/>
    <mergeCell ref="AB4:AC5"/>
    <mergeCell ref="J4:K5"/>
    <mergeCell ref="L4:M5"/>
    <mergeCell ref="N4:O5"/>
    <mergeCell ref="P4:Q5"/>
    <mergeCell ref="C2:S2"/>
    <mergeCell ref="C3:S3"/>
    <mergeCell ref="A4:A6"/>
    <mergeCell ref="B4:B6"/>
    <mergeCell ref="C4:C6"/>
    <mergeCell ref="D4:D5"/>
    <mergeCell ref="E4:E5"/>
    <mergeCell ref="F4:F5"/>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6.75" customHeight="1" x14ac:dyDescent="0.25">
      <c r="A3" s="55"/>
      <c r="B3" s="55"/>
      <c r="C3" s="473" t="s">
        <v>39</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228">
        <v>46023</v>
      </c>
      <c r="F6" s="228">
        <v>46023</v>
      </c>
      <c r="G6" s="228">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87"/>
      <c r="B8" s="459" t="s">
        <v>23</v>
      </c>
      <c r="C8" s="57" t="s">
        <v>20</v>
      </c>
      <c r="D8" s="382">
        <f>D9+D10+D11</f>
        <v>474325.66203000006</v>
      </c>
      <c r="E8" s="58">
        <f>E9+E10+E11</f>
        <v>474325.66203000006</v>
      </c>
      <c r="F8" s="58">
        <f>F9+F10+F11</f>
        <v>445653.64999999997</v>
      </c>
      <c r="G8" s="58">
        <f t="shared" ref="G8" si="0">G9+G10+G11</f>
        <v>445653.64999999997</v>
      </c>
      <c r="H8" s="58">
        <f>IFERROR(G8/D8*100,0)</f>
        <v>93.955205394687951</v>
      </c>
      <c r="I8" s="58">
        <f>IFERROR(G8/E8*100,0)</f>
        <v>93.955205394687951</v>
      </c>
      <c r="J8" s="59">
        <f>J9+J10+J11</f>
        <v>20405.210000000003</v>
      </c>
      <c r="K8" s="59">
        <f t="shared" ref="K8:AG8" si="1">K9+K10+K11</f>
        <v>16274.48</v>
      </c>
      <c r="L8" s="59">
        <f t="shared" si="1"/>
        <v>33700.769999999997</v>
      </c>
      <c r="M8" s="59">
        <f t="shared" si="1"/>
        <v>28320.71</v>
      </c>
      <c r="N8" s="59">
        <f t="shared" si="1"/>
        <v>40074.259529999996</v>
      </c>
      <c r="O8" s="59">
        <f t="shared" si="1"/>
        <v>38874.549999999996</v>
      </c>
      <c r="P8" s="59">
        <f t="shared" si="1"/>
        <v>75447.099999999991</v>
      </c>
      <c r="Q8" s="59">
        <f t="shared" si="1"/>
        <v>74234.97</v>
      </c>
      <c r="R8" s="59">
        <f t="shared" si="1"/>
        <v>20041.208500000001</v>
      </c>
      <c r="S8" s="59">
        <f t="shared" si="1"/>
        <v>16811.099999999999</v>
      </c>
      <c r="T8" s="59">
        <f t="shared" si="1"/>
        <v>47841.561499999996</v>
      </c>
      <c r="U8" s="59">
        <f t="shared" si="1"/>
        <v>38880.74</v>
      </c>
      <c r="V8" s="59">
        <f t="shared" si="1"/>
        <v>33449.909499999994</v>
      </c>
      <c r="W8" s="59">
        <f t="shared" si="1"/>
        <v>23931.18</v>
      </c>
      <c r="X8" s="59">
        <f t="shared" si="1"/>
        <v>37796.816500000001</v>
      </c>
      <c r="Y8" s="59">
        <f t="shared" si="1"/>
        <v>36304.33</v>
      </c>
      <c r="Z8" s="59">
        <f t="shared" si="1"/>
        <v>83415.75</v>
      </c>
      <c r="AA8" s="59">
        <f t="shared" si="1"/>
        <v>86287.37</v>
      </c>
      <c r="AB8" s="59">
        <f t="shared" si="1"/>
        <v>47577.082999999999</v>
      </c>
      <c r="AC8" s="59">
        <f t="shared" si="1"/>
        <v>37621.090000000004</v>
      </c>
      <c r="AD8" s="59">
        <f t="shared" si="1"/>
        <v>13501.415499999999</v>
      </c>
      <c r="AE8" s="59">
        <f t="shared" si="1"/>
        <v>13869.249999999998</v>
      </c>
      <c r="AF8" s="59">
        <f t="shared" si="1"/>
        <v>21074.577999999998</v>
      </c>
      <c r="AG8" s="59">
        <f t="shared" si="1"/>
        <v>33224.980000000003</v>
      </c>
      <c r="AH8" s="60"/>
    </row>
    <row r="9" spans="1:35" s="22" customFormat="1" ht="57" customHeight="1" x14ac:dyDescent="0.25">
      <c r="A9" s="488"/>
      <c r="B9" s="460"/>
      <c r="C9" s="61" t="s">
        <v>22</v>
      </c>
      <c r="D9" s="62">
        <f>D18</f>
        <v>5124.6975000000002</v>
      </c>
      <c r="E9" s="62">
        <f>E18</f>
        <v>5124.6975000000002</v>
      </c>
      <c r="F9" s="62">
        <f>F18</f>
        <v>5124.6900000000005</v>
      </c>
      <c r="G9" s="62">
        <f t="shared" ref="G9" si="2">G18</f>
        <v>5124.6900000000005</v>
      </c>
      <c r="H9" s="62">
        <f>IFERROR(G9/D9*100,0)</f>
        <v>99.99985364989837</v>
      </c>
      <c r="I9" s="62">
        <f>IFERROR(G9/E9*100,0)</f>
        <v>99.99985364989837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1331.52</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3.48</v>
      </c>
      <c r="AC9" s="63">
        <f t="shared" si="3"/>
        <v>0.26</v>
      </c>
      <c r="AD9" s="63">
        <f t="shared" si="3"/>
        <v>2.9695</v>
      </c>
      <c r="AE9" s="63">
        <f t="shared" si="3"/>
        <v>2.97</v>
      </c>
      <c r="AF9" s="63">
        <f t="shared" si="3"/>
        <v>2.5499999999999998</v>
      </c>
      <c r="AG9" s="63">
        <f t="shared" si="3"/>
        <v>6.44</v>
      </c>
      <c r="AH9" s="64"/>
    </row>
    <row r="10" spans="1:35" s="22" customFormat="1" ht="38.25" customHeight="1" x14ac:dyDescent="0.25">
      <c r="A10" s="488"/>
      <c r="B10" s="460"/>
      <c r="C10" s="61" t="s">
        <v>21</v>
      </c>
      <c r="D10" s="62">
        <f>D14+D19</f>
        <v>464388.96953000006</v>
      </c>
      <c r="E10" s="62">
        <f>E14+E19</f>
        <v>464388.96953000006</v>
      </c>
      <c r="F10" s="62">
        <f>F14+F19</f>
        <v>437815.48</v>
      </c>
      <c r="G10" s="62">
        <f t="shared" ref="G10:AG10" si="4">G14+G19</f>
        <v>437815.48</v>
      </c>
      <c r="H10" s="62">
        <f>IFERROR(G10/D10*100,0)</f>
        <v>94.277751782757747</v>
      </c>
      <c r="I10" s="62">
        <f>IFERROR(G10/E10*100,0)</f>
        <v>94.277751782757747</v>
      </c>
      <c r="J10" s="62">
        <f t="shared" si="4"/>
        <v>19745.810000000001</v>
      </c>
      <c r="K10" s="62">
        <f>K14+K19</f>
        <v>16225</v>
      </c>
      <c r="L10" s="62">
        <f t="shared" si="4"/>
        <v>33217.879999999997</v>
      </c>
      <c r="M10" s="62">
        <f t="shared" si="4"/>
        <v>27825.11</v>
      </c>
      <c r="N10" s="62">
        <f t="shared" si="4"/>
        <v>39620.309529999999</v>
      </c>
      <c r="O10" s="62">
        <f t="shared" si="4"/>
        <v>38799.299999999996</v>
      </c>
      <c r="P10" s="62">
        <f t="shared" si="4"/>
        <v>73671.929999999993</v>
      </c>
      <c r="Q10" s="62">
        <f t="shared" si="4"/>
        <v>74080.5</v>
      </c>
      <c r="R10" s="62">
        <f t="shared" si="4"/>
        <v>18261.150000000001</v>
      </c>
      <c r="S10" s="62">
        <f t="shared" si="4"/>
        <v>15329.31</v>
      </c>
      <c r="T10" s="62">
        <f>T14+T19</f>
        <v>46325.65</v>
      </c>
      <c r="U10" s="62">
        <f t="shared" si="4"/>
        <v>37215.599999999999</v>
      </c>
      <c r="V10" s="62">
        <f t="shared" si="4"/>
        <v>32949.56</v>
      </c>
      <c r="W10" s="62">
        <f t="shared" si="4"/>
        <v>23682.809999999998</v>
      </c>
      <c r="X10" s="62">
        <f t="shared" si="4"/>
        <v>37214.78</v>
      </c>
      <c r="Y10" s="62">
        <f t="shared" si="4"/>
        <v>36013.74</v>
      </c>
      <c r="Z10" s="62">
        <f t="shared" si="4"/>
        <v>82209.399999999994</v>
      </c>
      <c r="AA10" s="62">
        <f t="shared" si="4"/>
        <v>84997.27</v>
      </c>
      <c r="AB10" s="62">
        <f t="shared" si="4"/>
        <v>47271.009999999995</v>
      </c>
      <c r="AC10" s="62">
        <f t="shared" si="4"/>
        <v>37340.15</v>
      </c>
      <c r="AD10" s="62">
        <f t="shared" si="4"/>
        <v>13181.53</v>
      </c>
      <c r="AE10" s="62">
        <f t="shared" si="4"/>
        <v>13717.96</v>
      </c>
      <c r="AF10" s="62">
        <f t="shared" si="4"/>
        <v>20719.96</v>
      </c>
      <c r="AG10" s="62">
        <f t="shared" si="4"/>
        <v>32588.730000000003</v>
      </c>
      <c r="AH10" s="64"/>
    </row>
    <row r="11" spans="1:35" s="22" customFormat="1" ht="38.25" customHeight="1" x14ac:dyDescent="0.25">
      <c r="A11" s="489"/>
      <c r="B11" s="461"/>
      <c r="C11" s="298" t="s">
        <v>40</v>
      </c>
      <c r="D11" s="62">
        <f>D15</f>
        <v>4811.9949999999999</v>
      </c>
      <c r="E11" s="62">
        <f>E15</f>
        <v>4811.9949999999999</v>
      </c>
      <c r="F11" s="62">
        <f t="shared" ref="F11:AG11" si="5">F15</f>
        <v>2713.48</v>
      </c>
      <c r="G11" s="62">
        <f t="shared" si="5"/>
        <v>2713.48</v>
      </c>
      <c r="H11" s="62">
        <f>IFERROR(G11/D11*100,0)</f>
        <v>56.389917279631419</v>
      </c>
      <c r="I11" s="62">
        <f>IFERROR(G11/E11*100,0)</f>
        <v>56.389917279631419</v>
      </c>
      <c r="J11" s="62">
        <f t="shared" si="5"/>
        <v>359.4</v>
      </c>
      <c r="K11" s="62">
        <f t="shared" si="5"/>
        <v>49.48</v>
      </c>
      <c r="L11" s="62">
        <f t="shared" si="5"/>
        <v>349.39</v>
      </c>
      <c r="M11" s="62">
        <f t="shared" si="5"/>
        <v>62.1</v>
      </c>
      <c r="N11" s="62">
        <f t="shared" si="5"/>
        <v>453.95</v>
      </c>
      <c r="O11" s="62">
        <f t="shared" si="5"/>
        <v>75.25</v>
      </c>
      <c r="P11" s="62">
        <f t="shared" si="5"/>
        <v>415.02</v>
      </c>
      <c r="Q11" s="62">
        <f t="shared" si="5"/>
        <v>154.47</v>
      </c>
      <c r="R11" s="62">
        <f t="shared" si="5"/>
        <v>377.0889999999996</v>
      </c>
      <c r="S11" s="62">
        <f t="shared" si="5"/>
        <v>150.27000000000001</v>
      </c>
      <c r="T11" s="62">
        <f>T15</f>
        <v>456.59200000000021</v>
      </c>
      <c r="U11" s="62">
        <f t="shared" si="5"/>
        <v>193.52</v>
      </c>
      <c r="V11" s="62">
        <f t="shared" si="5"/>
        <v>497.38</v>
      </c>
      <c r="W11" s="62">
        <f t="shared" si="5"/>
        <v>245.4</v>
      </c>
      <c r="X11" s="62">
        <f t="shared" si="5"/>
        <v>579.06700000000012</v>
      </c>
      <c r="Y11" s="62">
        <f t="shared" si="5"/>
        <v>287.62</v>
      </c>
      <c r="Z11" s="62">
        <f t="shared" si="5"/>
        <v>352.53</v>
      </c>
      <c r="AA11" s="62">
        <f t="shared" si="5"/>
        <v>436.56</v>
      </c>
      <c r="AB11" s="62">
        <f t="shared" si="5"/>
        <v>302.59300000000007</v>
      </c>
      <c r="AC11" s="62">
        <f>AC15</f>
        <v>280.68</v>
      </c>
      <c r="AD11" s="62">
        <f t="shared" si="5"/>
        <v>316.916</v>
      </c>
      <c r="AE11" s="62">
        <f t="shared" si="5"/>
        <v>148.32</v>
      </c>
      <c r="AF11" s="62">
        <f t="shared" si="5"/>
        <v>352.06800000000032</v>
      </c>
      <c r="AG11" s="62">
        <f t="shared" si="5"/>
        <v>629.80999999999995</v>
      </c>
      <c r="AH11" s="64"/>
    </row>
    <row r="12" spans="1:35" s="22" customFormat="1" ht="18.75" customHeight="1" x14ac:dyDescent="0.25">
      <c r="A12" s="66"/>
      <c r="B12" s="415" t="s">
        <v>43</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64"/>
    </row>
    <row r="13" spans="1:35" s="21" customFormat="1" ht="264" customHeight="1" x14ac:dyDescent="0.25">
      <c r="A13" s="487" t="s">
        <v>37</v>
      </c>
      <c r="B13" s="459" t="s">
        <v>41</v>
      </c>
      <c r="C13" s="57" t="s">
        <v>20</v>
      </c>
      <c r="D13" s="58">
        <f>D14+D15</f>
        <v>456518.66453000007</v>
      </c>
      <c r="E13" s="58">
        <f>E14+E15</f>
        <v>456518.66453000007</v>
      </c>
      <c r="F13" s="58">
        <f>F14+F15</f>
        <v>429825.99</v>
      </c>
      <c r="G13" s="58">
        <f>G14+G15</f>
        <v>429825.99</v>
      </c>
      <c r="H13" s="58">
        <f>IFERROR(G13/D13*100,0)</f>
        <v>94.152993819544932</v>
      </c>
      <c r="I13" s="58">
        <f>IFERROR(G13/E13*100,0)</f>
        <v>94.152993819544932</v>
      </c>
      <c r="J13" s="59">
        <f>J14+J15</f>
        <v>20105.210000000003</v>
      </c>
      <c r="K13" s="59">
        <f t="shared" ref="K13:AG13" si="6">K14+K15</f>
        <v>16274.48</v>
      </c>
      <c r="L13" s="59">
        <f t="shared" si="6"/>
        <v>32495.62</v>
      </c>
      <c r="M13" s="59">
        <f t="shared" si="6"/>
        <v>26815.559999999998</v>
      </c>
      <c r="N13" s="59">
        <f t="shared" si="6"/>
        <v>38905.559529999999</v>
      </c>
      <c r="O13" s="59">
        <f t="shared" si="6"/>
        <v>37705.85</v>
      </c>
      <c r="P13" s="59">
        <f t="shared" si="6"/>
        <v>72726.8</v>
      </c>
      <c r="Q13" s="59">
        <f t="shared" si="6"/>
        <v>72874.820000000007</v>
      </c>
      <c r="R13" s="59">
        <f t="shared" si="6"/>
        <v>17638.239000000001</v>
      </c>
      <c r="S13" s="59">
        <f t="shared" si="6"/>
        <v>15479.58</v>
      </c>
      <c r="T13" s="59">
        <f>T14+T15</f>
        <v>44313.591999999997</v>
      </c>
      <c r="U13" s="59">
        <f t="shared" si="6"/>
        <v>37409.119999999995</v>
      </c>
      <c r="V13" s="59">
        <f t="shared" si="6"/>
        <v>31990.59</v>
      </c>
      <c r="W13" s="59">
        <f t="shared" si="6"/>
        <v>22244.86</v>
      </c>
      <c r="X13" s="59">
        <f t="shared" si="6"/>
        <v>36306.497000000003</v>
      </c>
      <c r="Y13" s="59">
        <f t="shared" si="6"/>
        <v>35101.46</v>
      </c>
      <c r="Z13" s="59">
        <f t="shared" si="6"/>
        <v>81561.929999999993</v>
      </c>
      <c r="AA13" s="59">
        <f t="shared" si="6"/>
        <v>85117.25</v>
      </c>
      <c r="AB13" s="59">
        <f t="shared" si="6"/>
        <v>45904.152999999998</v>
      </c>
      <c r="AC13" s="59">
        <f t="shared" si="6"/>
        <v>36585.67</v>
      </c>
      <c r="AD13" s="59">
        <f t="shared" si="6"/>
        <v>13498.446</v>
      </c>
      <c r="AE13" s="59">
        <f t="shared" si="6"/>
        <v>12799.199999999999</v>
      </c>
      <c r="AF13" s="59">
        <f t="shared" si="6"/>
        <v>21072.027999999998</v>
      </c>
      <c r="AG13" s="59">
        <f t="shared" si="6"/>
        <v>31418.140000000003</v>
      </c>
      <c r="AH13" s="215" t="s">
        <v>454</v>
      </c>
      <c r="AI13" s="23"/>
    </row>
    <row r="14" spans="1:35" s="238" customFormat="1" ht="66" customHeight="1" x14ac:dyDescent="0.25">
      <c r="A14" s="488"/>
      <c r="B14" s="460"/>
      <c r="C14" s="231" t="s">
        <v>21</v>
      </c>
      <c r="D14" s="232">
        <f>SUM(J14,L14,N14,P14,R14,T14,V14,X14,Z14,AB14,AD14,AF14)</f>
        <v>451706.66953000007</v>
      </c>
      <c r="E14" s="232">
        <f>J14+L14+N14+P14+R14+T14+V14+X14+Z14+AB14+AD14+AF14</f>
        <v>451706.66953000007</v>
      </c>
      <c r="F14" s="239">
        <f>G14</f>
        <v>427112.51</v>
      </c>
      <c r="G14" s="232">
        <f>SUM(K14,M14,O14,Q14,S14,U14,W14,Y14,AA14,AC14,AE14,AG14)</f>
        <v>427112.51</v>
      </c>
      <c r="H14" s="232">
        <f>IFERROR(G14/D14*100,0)</f>
        <v>94.555280851710648</v>
      </c>
      <c r="I14" s="232">
        <f>IFERROR(G14/E14*100,0)</f>
        <v>94.555280851710648</v>
      </c>
      <c r="J14" s="233">
        <v>19745.810000000001</v>
      </c>
      <c r="K14" s="233">
        <v>16225</v>
      </c>
      <c r="L14" s="233">
        <v>32146.23</v>
      </c>
      <c r="M14" s="236">
        <v>26753.46</v>
      </c>
      <c r="N14" s="233">
        <v>38451.609530000002</v>
      </c>
      <c r="O14" s="236">
        <v>37630.6</v>
      </c>
      <c r="P14" s="233">
        <v>72311.78</v>
      </c>
      <c r="Q14" s="233">
        <v>72720.350000000006</v>
      </c>
      <c r="R14" s="233">
        <f>9941.25+7319.9</f>
        <v>17261.150000000001</v>
      </c>
      <c r="S14" s="233">
        <v>15329.31</v>
      </c>
      <c r="T14" s="233">
        <v>43857</v>
      </c>
      <c r="U14" s="233">
        <v>37215.599999999999</v>
      </c>
      <c r="V14" s="233">
        <v>31493.21</v>
      </c>
      <c r="W14" s="233">
        <v>21999.46</v>
      </c>
      <c r="X14" s="233">
        <v>35727.43</v>
      </c>
      <c r="Y14" s="233">
        <v>34813.839999999997</v>
      </c>
      <c r="Z14" s="233">
        <v>81209.399999999994</v>
      </c>
      <c r="AA14" s="233">
        <v>84680.69</v>
      </c>
      <c r="AB14" s="233">
        <v>45601.56</v>
      </c>
      <c r="AC14" s="233">
        <v>36304.99</v>
      </c>
      <c r="AD14" s="233">
        <v>13181.53</v>
      </c>
      <c r="AE14" s="233">
        <v>12650.88</v>
      </c>
      <c r="AF14" s="233">
        <v>20719.96</v>
      </c>
      <c r="AG14" s="233">
        <v>30788.33</v>
      </c>
      <c r="AH14" s="370" t="s">
        <v>455</v>
      </c>
      <c r="AI14" s="237"/>
    </row>
    <row r="15" spans="1:35" s="235" customFormat="1" ht="58.5" customHeight="1" x14ac:dyDescent="0.25">
      <c r="A15" s="489"/>
      <c r="B15" s="461"/>
      <c r="C15" s="231" t="s">
        <v>40</v>
      </c>
      <c r="D15" s="232">
        <f>SUM(J15,L15,N15,P15,R15,T15,V15,X15,Z15,AB15,AD15,AF15)</f>
        <v>4811.9949999999999</v>
      </c>
      <c r="E15" s="232">
        <f>J15+L15+N15+P15+R15+T15+V15+X15+Z15+AB15+AD15+AF15</f>
        <v>4811.9949999999999</v>
      </c>
      <c r="F15" s="240">
        <f>G15</f>
        <v>2713.48</v>
      </c>
      <c r="G15" s="232">
        <f>SUM(K15,M15,O15,Q15,S15,U15,W15,Y15,AA15,AC15,AE15,AG15)</f>
        <v>2713.48</v>
      </c>
      <c r="H15" s="232">
        <f>IFERROR(G15/D15*100,0)</f>
        <v>56.389917279631419</v>
      </c>
      <c r="I15" s="232">
        <f>IFERROR(G15/E15*100,0)</f>
        <v>56.389917279631419</v>
      </c>
      <c r="J15" s="233">
        <v>359.4</v>
      </c>
      <c r="K15" s="233">
        <v>49.48</v>
      </c>
      <c r="L15" s="233">
        <v>349.39</v>
      </c>
      <c r="M15" s="233">
        <v>62.1</v>
      </c>
      <c r="N15" s="233">
        <v>453.95</v>
      </c>
      <c r="O15" s="233">
        <v>75.25</v>
      </c>
      <c r="P15" s="233">
        <v>415.02</v>
      </c>
      <c r="Q15" s="233">
        <v>154.47</v>
      </c>
      <c r="R15" s="233">
        <v>377.0889999999996</v>
      </c>
      <c r="S15" s="233">
        <v>150.27000000000001</v>
      </c>
      <c r="T15" s="233">
        <v>456.59200000000021</v>
      </c>
      <c r="U15" s="233">
        <v>193.52</v>
      </c>
      <c r="V15" s="233">
        <v>497.38</v>
      </c>
      <c r="W15" s="233">
        <v>245.4</v>
      </c>
      <c r="X15" s="233">
        <v>579.06700000000012</v>
      </c>
      <c r="Y15" s="233">
        <v>287.62</v>
      </c>
      <c r="Z15" s="233">
        <v>352.53</v>
      </c>
      <c r="AA15" s="233">
        <v>436.56</v>
      </c>
      <c r="AB15" s="233">
        <v>302.59300000000007</v>
      </c>
      <c r="AC15" s="233">
        <v>280.68</v>
      </c>
      <c r="AD15" s="233">
        <v>316.916</v>
      </c>
      <c r="AE15" s="233">
        <v>148.32</v>
      </c>
      <c r="AF15" s="233">
        <v>352.06800000000032</v>
      </c>
      <c r="AG15" s="233">
        <v>629.80999999999995</v>
      </c>
      <c r="AH15" s="299"/>
      <c r="AI15" s="234"/>
    </row>
    <row r="16" spans="1:35" s="18" customFormat="1" ht="21" customHeight="1" x14ac:dyDescent="0.25">
      <c r="A16" s="68"/>
      <c r="B16" s="415" t="s">
        <v>42</v>
      </c>
      <c r="C16" s="416"/>
      <c r="D16" s="416"/>
      <c r="E16" s="416"/>
      <c r="F16" s="416"/>
      <c r="G16" s="416"/>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7"/>
      <c r="AH16" s="46"/>
      <c r="AI16" s="19"/>
    </row>
    <row r="17" spans="1:35" s="21" customFormat="1" ht="195" customHeight="1" x14ac:dyDescent="0.25">
      <c r="A17" s="487" t="s">
        <v>38</v>
      </c>
      <c r="B17" s="459" t="s">
        <v>44</v>
      </c>
      <c r="C17" s="57" t="s">
        <v>20</v>
      </c>
      <c r="D17" s="58">
        <f>SUM(J17,L17,N17,P17,R17,T17,V17,X17,Z17,AB17,AD17,AF17)</f>
        <v>17806.997499999998</v>
      </c>
      <c r="E17" s="58">
        <f>E18+E19</f>
        <v>17806.997500000001</v>
      </c>
      <c r="F17" s="58">
        <f>F18+F19</f>
        <v>15827.66</v>
      </c>
      <c r="G17" s="58">
        <f t="shared" ref="G17" si="7">G18+G19</f>
        <v>15827.66</v>
      </c>
      <c r="H17" s="58">
        <f>IFERROR(G17/D17*100,0)</f>
        <v>88.884496108903264</v>
      </c>
      <c r="I17" s="58">
        <f>IFERROR(G17/E17*100,0)</f>
        <v>88.884496108903249</v>
      </c>
      <c r="J17" s="59">
        <f>J18+J19</f>
        <v>300</v>
      </c>
      <c r="K17" s="59">
        <f t="shared" ref="K17:AG17" si="8">K18+K19</f>
        <v>0</v>
      </c>
      <c r="L17" s="59">
        <f t="shared" si="8"/>
        <v>1205.1500000000001</v>
      </c>
      <c r="M17" s="59">
        <f t="shared" si="8"/>
        <v>1505.15</v>
      </c>
      <c r="N17" s="59">
        <f t="shared" si="8"/>
        <v>1168.7</v>
      </c>
      <c r="O17" s="59">
        <f t="shared" si="8"/>
        <v>1168.7</v>
      </c>
      <c r="P17" s="59">
        <f t="shared" si="8"/>
        <v>2720.3</v>
      </c>
      <c r="Q17" s="59">
        <f t="shared" si="8"/>
        <v>1360.15</v>
      </c>
      <c r="R17" s="59">
        <f t="shared" si="8"/>
        <v>2402.9695000000002</v>
      </c>
      <c r="S17" s="59">
        <f t="shared" si="8"/>
        <v>1331.52</v>
      </c>
      <c r="T17" s="59">
        <f t="shared" si="8"/>
        <v>3527.9695000000002</v>
      </c>
      <c r="U17" s="59">
        <f t="shared" si="8"/>
        <v>1471.62</v>
      </c>
      <c r="V17" s="59">
        <f t="shared" si="8"/>
        <v>1459.3194999999998</v>
      </c>
      <c r="W17" s="59">
        <f t="shared" si="8"/>
        <v>2705.22</v>
      </c>
      <c r="X17" s="59">
        <f t="shared" si="8"/>
        <v>1490.3194999999998</v>
      </c>
      <c r="Y17" s="59">
        <f t="shared" si="8"/>
        <v>1202.8700000000001</v>
      </c>
      <c r="Z17" s="59">
        <f t="shared" si="8"/>
        <v>1853.8200000000002</v>
      </c>
      <c r="AA17" s="59">
        <f t="shared" si="8"/>
        <v>1170.1199999999999</v>
      </c>
      <c r="AB17" s="59">
        <f t="shared" si="8"/>
        <v>1672.93</v>
      </c>
      <c r="AC17" s="59">
        <f t="shared" si="8"/>
        <v>1035.42</v>
      </c>
      <c r="AD17" s="59">
        <f t="shared" si="8"/>
        <v>2.9695</v>
      </c>
      <c r="AE17" s="59">
        <f t="shared" si="8"/>
        <v>1070.05</v>
      </c>
      <c r="AF17" s="59">
        <f t="shared" si="8"/>
        <v>2.5499999999999998</v>
      </c>
      <c r="AG17" s="59">
        <f t="shared" si="8"/>
        <v>1806.8400000000001</v>
      </c>
      <c r="AH17" s="369" t="s">
        <v>448</v>
      </c>
      <c r="AI17" s="20"/>
    </row>
    <row r="18" spans="1:35" s="250" customFormat="1" ht="82.5" customHeight="1" x14ac:dyDescent="0.25">
      <c r="A18" s="488"/>
      <c r="B18" s="460"/>
      <c r="C18" s="231" t="s">
        <v>22</v>
      </c>
      <c r="D18" s="232">
        <f>SUM(J18,L18,N18,P18,R18,T18,V18,X18,Z18,AB18,AD18,AF18)</f>
        <v>5124.6975000000002</v>
      </c>
      <c r="E18" s="232">
        <f>J18+L18+N18+P18+R18+T18+V18+X18+Z18+AB18+AD18+AF18</f>
        <v>5124.6975000000002</v>
      </c>
      <c r="F18" s="232">
        <f>G18</f>
        <v>5124.6900000000005</v>
      </c>
      <c r="G18" s="232">
        <f>SUM(K18,M18,O18,Q18,S18,U18,W18,Y18,AA18,AC18,AE18,AG18)</f>
        <v>5124.6900000000005</v>
      </c>
      <c r="H18" s="232">
        <f>IFERROR(G18/D18*100,0)</f>
        <v>99.99985364989837</v>
      </c>
      <c r="I18" s="232">
        <f>IFERROR(G18/E18*100,0)</f>
        <v>99.99985364989837</v>
      </c>
      <c r="J18" s="251">
        <v>300</v>
      </c>
      <c r="K18" s="410">
        <v>0</v>
      </c>
      <c r="L18" s="233">
        <v>133.5</v>
      </c>
      <c r="M18" s="233">
        <v>433.5</v>
      </c>
      <c r="N18" s="233">
        <v>0</v>
      </c>
      <c r="O18" s="233">
        <v>0</v>
      </c>
      <c r="P18" s="233">
        <f>1360150/1000</f>
        <v>1360.15</v>
      </c>
      <c r="Q18" s="233">
        <v>0</v>
      </c>
      <c r="R18" s="233">
        <f>1402969.5/1000</f>
        <v>1402.9694999999999</v>
      </c>
      <c r="S18" s="233">
        <v>1331.52</v>
      </c>
      <c r="T18" s="233">
        <f>1059319.5/1000</f>
        <v>1059.3195000000001</v>
      </c>
      <c r="U18" s="233">
        <v>1471.62</v>
      </c>
      <c r="V18" s="233">
        <f>2969.5/1000</f>
        <v>2.9695</v>
      </c>
      <c r="W18" s="233">
        <v>1021.87</v>
      </c>
      <c r="X18" s="233">
        <f>2969.5/1000</f>
        <v>2.9695</v>
      </c>
      <c r="Y18" s="233">
        <v>2.97</v>
      </c>
      <c r="Z18" s="233">
        <v>853.82</v>
      </c>
      <c r="AA18" s="233">
        <v>853.54</v>
      </c>
      <c r="AB18" s="233">
        <v>3.48</v>
      </c>
      <c r="AC18" s="233">
        <v>0.26</v>
      </c>
      <c r="AD18" s="233">
        <f>2969.5/1000</f>
        <v>2.9695</v>
      </c>
      <c r="AE18" s="233">
        <v>2.97</v>
      </c>
      <c r="AF18" s="233">
        <v>2.5499999999999998</v>
      </c>
      <c r="AG18" s="233">
        <v>6.44</v>
      </c>
      <c r="AH18" s="368"/>
      <c r="AI18" s="249"/>
    </row>
    <row r="19" spans="1:35" s="235" customFormat="1" ht="92.25" customHeight="1" x14ac:dyDescent="0.25">
      <c r="A19" s="489"/>
      <c r="B19" s="461"/>
      <c r="C19" s="231" t="s">
        <v>21</v>
      </c>
      <c r="D19" s="232">
        <f>SUM(J19,L19,N19,P19,R19,T19,V19,X19,Z19,AB19,AD19,AF19)</f>
        <v>12682.300000000001</v>
      </c>
      <c r="E19" s="232">
        <f>J19+L19+N19+P19+R19+T19+V19+X19+Z19+AB19+AD19+AF19</f>
        <v>12682.300000000001</v>
      </c>
      <c r="F19" s="232">
        <f>G19</f>
        <v>10702.97</v>
      </c>
      <c r="G19" s="232">
        <f>SUM(K19,M19,O19,Q19,S19,U19,W19,Y19,AA19,AC19,AE19,AG19)</f>
        <v>10702.97</v>
      </c>
      <c r="H19" s="232">
        <f>IFERROR(G19/D19*100,0)</f>
        <v>84.392972883467493</v>
      </c>
      <c r="I19" s="232">
        <f>IFERROR(G19/E19*100,0)</f>
        <v>84.392972883467493</v>
      </c>
      <c r="J19" s="233">
        <v>0</v>
      </c>
      <c r="K19" s="233">
        <v>0</v>
      </c>
      <c r="L19" s="233">
        <v>1071.6500000000001</v>
      </c>
      <c r="M19" s="233">
        <v>1071.6500000000001</v>
      </c>
      <c r="N19" s="233">
        <v>1168.7</v>
      </c>
      <c r="O19" s="233">
        <v>1168.7</v>
      </c>
      <c r="P19" s="233">
        <v>1360.15</v>
      </c>
      <c r="Q19" s="233">
        <v>1360.15</v>
      </c>
      <c r="R19" s="233">
        <v>1000</v>
      </c>
      <c r="S19" s="233">
        <v>0</v>
      </c>
      <c r="T19" s="233">
        <v>2468.65</v>
      </c>
      <c r="U19" s="233">
        <v>0</v>
      </c>
      <c r="V19" s="233">
        <v>1456.35</v>
      </c>
      <c r="W19" s="233">
        <v>1683.35</v>
      </c>
      <c r="X19" s="233">
        <v>1487.35</v>
      </c>
      <c r="Y19" s="233">
        <v>1199.9000000000001</v>
      </c>
      <c r="Z19" s="233">
        <v>1000</v>
      </c>
      <c r="AA19" s="233">
        <v>316.58</v>
      </c>
      <c r="AB19" s="233">
        <v>1669.45</v>
      </c>
      <c r="AC19" s="233">
        <v>1035.1600000000001</v>
      </c>
      <c r="AD19" s="233">
        <v>0</v>
      </c>
      <c r="AE19" s="233">
        <v>1067.08</v>
      </c>
      <c r="AF19" s="233">
        <v>0</v>
      </c>
      <c r="AG19" s="233">
        <v>1800.4</v>
      </c>
      <c r="AH19" s="368"/>
      <c r="AI19" s="234"/>
    </row>
  </sheetData>
  <customSheetViews>
    <customSheetView guid="{133BB3F8-8DD4-4AEF-8CD6-A5FB14681329}" scale="80">
      <pane xSplit="6" ySplit="7" topLeftCell="G8" activePane="bottomRight" state="frozen"/>
      <selection pane="bottomRight" activeCell="J26" sqref="J26"/>
      <pageMargins left="0.7" right="0.7" top="0.75" bottom="0.75" header="0.3" footer="0.3"/>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1"/>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2"/>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3"/>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4"/>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4AF2100-C59D-4F60-9EAB-56D9103463F7}" scale="70">
      <pane xSplit="6" ySplit="7" topLeftCell="AC11" activePane="bottomRight" state="frozen"/>
      <selection pane="bottomRight" activeCell="AH14" sqref="AH14"/>
      <pageMargins left="0.7" right="0.7" top="0.75" bottom="0.75" header="0.3" footer="0.3"/>
    </customSheetView>
    <customSheetView guid="{60A1F930-4BEC-460A-8E14-01E47F6DD055}" scale="70">
      <pane xSplit="6" ySplit="4" topLeftCell="G8" activePane="bottomRight" state="frozen"/>
      <selection pane="bottomRight" activeCell="M11" sqref="M11"/>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s>
  <mergeCells count="31">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90" zoomScaleNormal="55" workbookViewId="0">
      <pane xSplit="6" ySplit="7" topLeftCell="G8" activePane="bottomRight" state="frozen"/>
      <selection activeCell="C14" sqref="C14"/>
      <selection pane="topRight" activeCell="C14" sqref="C14"/>
      <selection pane="bottomLeft" activeCell="C14" sqref="C14"/>
      <selection pane="bottomRight" activeCell="C14" sqref="C14"/>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54"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33" customFormat="1" ht="24" customHeight="1" x14ac:dyDescent="0.25">
      <c r="C3" s="473" t="s">
        <v>108</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33"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33"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33" customFormat="1" ht="64.5" customHeight="1" x14ac:dyDescent="0.25">
      <c r="A6" s="476"/>
      <c r="B6" s="479"/>
      <c r="C6" s="479"/>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12"/>
      <c r="B8" s="465" t="s">
        <v>23</v>
      </c>
      <c r="C8" s="69" t="s">
        <v>20</v>
      </c>
      <c r="D8" s="70">
        <f>D9+D10</f>
        <v>32179.720839999998</v>
      </c>
      <c r="E8" s="70">
        <f>E9+E10</f>
        <v>25393.686839999998</v>
      </c>
      <c r="F8" s="70">
        <f>F9+F10</f>
        <v>31312.963360000002</v>
      </c>
      <c r="G8" s="70">
        <f t="shared" ref="G8" si="0">G9+G10</f>
        <v>31312.963360000002</v>
      </c>
      <c r="H8" s="70">
        <f>IFERROR(G8/D8*100,0)</f>
        <v>97.306510257470606</v>
      </c>
      <c r="I8" s="70">
        <f>IFERROR(G8/E8*100,0)</f>
        <v>123.31003196698475</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1973.232</v>
      </c>
      <c r="AA8" s="71">
        <f t="shared" si="1"/>
        <v>9884.5784199999998</v>
      </c>
      <c r="AB8" s="71">
        <f t="shared" si="1"/>
        <v>1734.662</v>
      </c>
      <c r="AC8" s="71">
        <f t="shared" si="1"/>
        <v>1639.47171</v>
      </c>
      <c r="AD8" s="71">
        <f t="shared" si="1"/>
        <v>1791.24584</v>
      </c>
      <c r="AE8" s="71">
        <f t="shared" si="1"/>
        <v>3822.5842299999999</v>
      </c>
      <c r="AF8" s="71">
        <f t="shared" si="1"/>
        <v>2472.3339999999998</v>
      </c>
      <c r="AG8" s="71">
        <f t="shared" si="1"/>
        <v>3193.9110000000001</v>
      </c>
      <c r="AH8" s="72"/>
    </row>
    <row r="9" spans="1:35" s="44" customFormat="1" ht="44.25" customHeight="1" x14ac:dyDescent="0.25">
      <c r="A9" s="435"/>
      <c r="B9" s="466"/>
      <c r="C9" s="73" t="s">
        <v>22</v>
      </c>
      <c r="D9" s="74">
        <f>J9+L9+N9+P9+R9+T9+V9+X9+Z9+AB9+AD9+AF9</f>
        <v>4313.7</v>
      </c>
      <c r="E9" s="74">
        <f t="shared" ref="E9" si="2">J9</f>
        <v>0</v>
      </c>
      <c r="F9" s="74">
        <f>G9</f>
        <v>4269.74</v>
      </c>
      <c r="G9" s="74">
        <f>K9+M9+O9+Q9+S9+U9+W9+Y9+AA9+AC9+AE9+AG9</f>
        <v>4269.74</v>
      </c>
      <c r="H9" s="74">
        <f>IFERROR(G9/D9*100,0)</f>
        <v>98.980921250898305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1.04</v>
      </c>
      <c r="AH9" s="75"/>
    </row>
    <row r="10" spans="1:35" s="44" customFormat="1" ht="37.5" customHeight="1" x14ac:dyDescent="0.25">
      <c r="A10" s="413"/>
      <c r="B10" s="467"/>
      <c r="C10" s="73" t="s">
        <v>21</v>
      </c>
      <c r="D10" s="74">
        <f t="shared" ref="D10" si="4">J10+L10+N10+P10+R10+T10+V10+X10+Z10+AB10+AD10+AF10</f>
        <v>27866.020839999997</v>
      </c>
      <c r="E10" s="74">
        <f>J10+L10+N10+P10+R10+T10+V10+X10+Z10+AB10+AD10</f>
        <v>25393.686839999998</v>
      </c>
      <c r="F10" s="74">
        <f>G10</f>
        <v>27043.22336</v>
      </c>
      <c r="G10" s="74">
        <f>K10+M10+O10+Q10+S10+U10+W10+Y10+AA10+AC10+AE10+AG10</f>
        <v>27043.22336</v>
      </c>
      <c r="H10" s="74">
        <f>IFERROR(G10/D10*100,0)</f>
        <v>97.047309033735743</v>
      </c>
      <c r="I10" s="74">
        <f>IFERROR(G10/E10*100,0)</f>
        <v>106.49585280937488</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1973.232</v>
      </c>
      <c r="AA10" s="74">
        <f t="shared" si="5"/>
        <v>5615.87842</v>
      </c>
      <c r="AB10" s="74">
        <f t="shared" si="5"/>
        <v>1734.662</v>
      </c>
      <c r="AC10" s="74">
        <f t="shared" si="5"/>
        <v>1639.47171</v>
      </c>
      <c r="AD10" s="74">
        <f t="shared" si="5"/>
        <v>1791.24584</v>
      </c>
      <c r="AE10" s="74">
        <f t="shared" si="5"/>
        <v>3822.5842299999999</v>
      </c>
      <c r="AF10" s="74">
        <f t="shared" si="5"/>
        <v>2472.3339999999998</v>
      </c>
      <c r="AG10" s="74">
        <f t="shared" si="5"/>
        <v>3192.8710000000001</v>
      </c>
      <c r="AH10" s="75"/>
    </row>
    <row r="11" spans="1:35" s="47" customFormat="1" ht="18.75" customHeight="1" x14ac:dyDescent="0.25">
      <c r="A11" s="107"/>
      <c r="B11" s="415" t="s">
        <v>102</v>
      </c>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7"/>
      <c r="AH11" s="64"/>
    </row>
    <row r="12" spans="1:35" s="50" customFormat="1" ht="25.5" customHeight="1" x14ac:dyDescent="0.25">
      <c r="A12" s="453" t="s">
        <v>103</v>
      </c>
      <c r="B12" s="459" t="s">
        <v>104</v>
      </c>
      <c r="C12" s="57" t="s">
        <v>20</v>
      </c>
      <c r="D12" s="58">
        <f>D14+D13</f>
        <v>10342.5</v>
      </c>
      <c r="E12" s="58">
        <f t="shared" ref="E12:G12" si="6">E14+E13</f>
        <v>10342.5</v>
      </c>
      <c r="F12" s="382">
        <f>F14+F13</f>
        <v>9713.2999999999993</v>
      </c>
      <c r="G12" s="58">
        <f t="shared" si="6"/>
        <v>9713.2999999999993</v>
      </c>
      <c r="H12" s="58">
        <f t="shared" ref="H12" si="7">IFERROR(G12/D12*100,0)</f>
        <v>93.916364515349287</v>
      </c>
      <c r="I12" s="58">
        <f>IFERROR(G12/E12*100,0)</f>
        <v>93.916364515349287</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2509.181</v>
      </c>
      <c r="AF12" s="59">
        <f t="shared" si="8"/>
        <v>0</v>
      </c>
      <c r="AG12" s="59">
        <f t="shared" si="8"/>
        <v>20.8</v>
      </c>
      <c r="AH12" s="60"/>
      <c r="AI12" s="49"/>
    </row>
    <row r="13" spans="1:35" s="44" customFormat="1" ht="51.75" customHeight="1" x14ac:dyDescent="0.25">
      <c r="A13" s="454"/>
      <c r="B13" s="460"/>
      <c r="C13" s="73" t="s">
        <v>22</v>
      </c>
      <c r="D13" s="74">
        <f>SUM(J13,L13,N13,P13,R13,T13,V13,X13,Z13,AB13,AD13,AF13)</f>
        <v>4313.7</v>
      </c>
      <c r="E13" s="74">
        <f>J13+L13+N13+P13+R13+T13+V13+X13+Z13+AB13+AD13+AF13</f>
        <v>4313.7</v>
      </c>
      <c r="F13" s="74">
        <f>G13</f>
        <v>4269.74</v>
      </c>
      <c r="G13" s="74">
        <f>SUM(K13,M13,O13,Q13,S13,U13,W13,Y13,AA13,AC13,AE13,AG13)</f>
        <v>4269.74</v>
      </c>
      <c r="H13" s="74">
        <f>IFERROR(G13/D13*100,0)</f>
        <v>98.980921250898305</v>
      </c>
      <c r="I13" s="74">
        <f>IFERROR(G13/E13*100,0)</f>
        <v>98.980921250898305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1.04</v>
      </c>
      <c r="AH13" s="72"/>
      <c r="AI13" s="51"/>
    </row>
    <row r="14" spans="1:35" s="44" customFormat="1" ht="32.25" customHeight="1" x14ac:dyDescent="0.25">
      <c r="A14" s="424"/>
      <c r="B14" s="460"/>
      <c r="C14" s="73" t="s">
        <v>21</v>
      </c>
      <c r="D14" s="74">
        <f>SUM(J14,L14,N14,P14,R14,T14,V14,X14,Z14,AB14,AD14,AF14)</f>
        <v>6028.8</v>
      </c>
      <c r="E14" s="74">
        <f>J14+L14+N14+P14+R14+T14+V14+X14+Z14+AB14+AD14+AF14</f>
        <v>6028.8</v>
      </c>
      <c r="F14" s="74">
        <f>G14</f>
        <v>5443.56</v>
      </c>
      <c r="G14" s="74">
        <f>SUM(K14,M14,O14,Q14,S14,U14,W14,Y14,AA14,AC14,AE14,AG14)</f>
        <v>5443.56</v>
      </c>
      <c r="H14" s="74">
        <f>IFERROR(G14/D14*100,0)</f>
        <v>90.292595541401283</v>
      </c>
      <c r="I14" s="74">
        <f>IFERROR(G14/E14*100,0)</f>
        <v>90.292595541401283</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2509.181</v>
      </c>
      <c r="AF14" s="67">
        <f t="shared" si="10"/>
        <v>0</v>
      </c>
      <c r="AG14" s="67">
        <f t="shared" si="10"/>
        <v>19.760000000000002</v>
      </c>
      <c r="AH14" s="72"/>
      <c r="AI14" s="51"/>
    </row>
    <row r="15" spans="1:35" s="50" customFormat="1" ht="27" customHeight="1" x14ac:dyDescent="0.25">
      <c r="A15" s="453"/>
      <c r="B15" s="451" t="s">
        <v>105</v>
      </c>
      <c r="C15" s="57" t="s">
        <v>20</v>
      </c>
      <c r="D15" s="58">
        <f>D17+D16</f>
        <v>7742.5</v>
      </c>
      <c r="E15" s="58">
        <f>E17+E16</f>
        <v>7742.5</v>
      </c>
      <c r="F15" s="58">
        <f t="shared" ref="F15" si="11">F17+F16</f>
        <v>7713.3</v>
      </c>
      <c r="G15" s="58">
        <f>G17+G16</f>
        <v>7713.3</v>
      </c>
      <c r="H15" s="58">
        <f t="shared" ref="H15" si="12">IFERROR(G15/D15*100,0)</f>
        <v>99.622860833064252</v>
      </c>
      <c r="I15" s="58">
        <f t="shared" ref="I15" si="13">IFERROR(G15/E15*100,0)</f>
        <v>99.622860833064252</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509.18099999999998</v>
      </c>
      <c r="AF15" s="59">
        <f t="shared" si="14"/>
        <v>0</v>
      </c>
      <c r="AG15" s="59">
        <f t="shared" si="14"/>
        <v>20.8</v>
      </c>
      <c r="AH15" s="60"/>
      <c r="AI15" s="49"/>
    </row>
    <row r="16" spans="1:35" s="50" customFormat="1" ht="258" customHeight="1" x14ac:dyDescent="0.25">
      <c r="A16" s="454"/>
      <c r="B16" s="452"/>
      <c r="C16" s="61" t="s">
        <v>22</v>
      </c>
      <c r="D16" s="62">
        <f>SUM(J16,L16,N16,P16,R16,T16,V16,X16,Z16,AB16,AD16,AF16)</f>
        <v>4313.7</v>
      </c>
      <c r="E16" s="74">
        <f>J16+L16+N16+P16+R16+T16+V16+X16+Z16+AB16+AD16+AF16</f>
        <v>4313.7</v>
      </c>
      <c r="F16" s="62">
        <f>G16</f>
        <v>4269.74</v>
      </c>
      <c r="G16" s="62">
        <f>SUM(K16,M16,O16,Q16,S16,U16,W16,Y16,AA16,AC16,AE16,AG16)</f>
        <v>4269.74</v>
      </c>
      <c r="H16" s="62">
        <f>IFERROR(G16/D16*100,0)</f>
        <v>98.980921250898305</v>
      </c>
      <c r="I16" s="62">
        <f>IFERROR(G16/E16*100,0)</f>
        <v>98.980921250898305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76">
        <v>0</v>
      </c>
      <c r="AE16" s="176">
        <v>0</v>
      </c>
      <c r="AF16" s="63">
        <v>0</v>
      </c>
      <c r="AG16" s="63">
        <v>1.04</v>
      </c>
      <c r="AH16" s="60" t="s">
        <v>449</v>
      </c>
      <c r="AI16" s="49"/>
    </row>
    <row r="17" spans="1:35" s="50" customFormat="1" ht="42" customHeight="1" x14ac:dyDescent="0.25">
      <c r="A17" s="424"/>
      <c r="B17" s="452"/>
      <c r="C17" s="61" t="s">
        <v>21</v>
      </c>
      <c r="D17" s="62">
        <f>SUM(J17,L17,N17,P17,R17,T17,V17,X17,Z17,AB17,AD17,AF17)</f>
        <v>3428.8</v>
      </c>
      <c r="E17" s="74">
        <f>J17+L17+N17+P17+R17+T17+V17+X17+Z17+AB17+AD17+AF17</f>
        <v>3428.8</v>
      </c>
      <c r="F17" s="62">
        <f>G17</f>
        <v>3443.5600000000004</v>
      </c>
      <c r="G17" s="62">
        <f>SUM(K17,M17,O17,Q17,S17,U17,W17,Y17,AA17,AC17,AE17,AG17)</f>
        <v>3443.5600000000004</v>
      </c>
      <c r="H17" s="62">
        <f>IFERROR(G17/D17*100,0)</f>
        <v>100.4304713019132</v>
      </c>
      <c r="I17" s="62">
        <f>IFERROR(G17/E17*100,0)</f>
        <v>100.4304713019132</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509.18099999999998</v>
      </c>
      <c r="AF17" s="63">
        <v>0</v>
      </c>
      <c r="AG17" s="63">
        <v>19.760000000000002</v>
      </c>
      <c r="AH17" s="342"/>
      <c r="AI17" s="49"/>
    </row>
    <row r="18" spans="1:35" s="50" customFormat="1" ht="42.75" customHeight="1" x14ac:dyDescent="0.25">
      <c r="A18" s="424"/>
      <c r="B18" s="451"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AF20+AF19</f>
        <v>0</v>
      </c>
      <c r="AG18" s="59">
        <f t="shared" si="18"/>
        <v>0</v>
      </c>
      <c r="AH18" s="60"/>
      <c r="AI18" s="49"/>
    </row>
    <row r="19" spans="1:35" s="50" customFormat="1" ht="58.5" hidden="1" customHeight="1" x14ac:dyDescent="0.25">
      <c r="A19" s="424"/>
      <c r="B19" s="452"/>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409.5" customHeight="1" x14ac:dyDescent="0.25">
      <c r="A20" s="425"/>
      <c r="B20" s="452"/>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450</v>
      </c>
      <c r="AI20" s="49"/>
    </row>
    <row r="21" spans="1:35" s="42" customFormat="1" ht="27" customHeight="1" x14ac:dyDescent="0.25">
      <c r="A21" s="412" t="s">
        <v>37</v>
      </c>
      <c r="B21" s="465" t="s">
        <v>107</v>
      </c>
      <c r="C21" s="69" t="s">
        <v>20</v>
      </c>
      <c r="D21" s="70">
        <f>D22</f>
        <v>21837.220839999998</v>
      </c>
      <c r="E21" s="70">
        <f t="shared" ref="E21:G21" si="19">E22</f>
        <v>19364.886839999999</v>
      </c>
      <c r="F21" s="383">
        <f t="shared" si="19"/>
        <v>21599.663360000002</v>
      </c>
      <c r="G21" s="70">
        <f t="shared" si="19"/>
        <v>21599.663360000002</v>
      </c>
      <c r="H21" s="70">
        <f t="shared" ref="H21" si="20">IFERROR(G21/D21*100,0)</f>
        <v>98.912144170082058</v>
      </c>
      <c r="I21" s="70">
        <f t="shared" ref="I21" si="21">IFERROR(G21/E21*100,0)</f>
        <v>111.54035413924474</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1973.232</v>
      </c>
      <c r="AA21" s="71">
        <f t="shared" si="22"/>
        <v>2701.2594199999999</v>
      </c>
      <c r="AB21" s="71">
        <f t="shared" si="22"/>
        <v>1734.662</v>
      </c>
      <c r="AC21" s="71">
        <f t="shared" si="22"/>
        <v>1639.47171</v>
      </c>
      <c r="AD21" s="255">
        <f t="shared" si="22"/>
        <v>1791.24584</v>
      </c>
      <c r="AE21" s="255">
        <f t="shared" si="22"/>
        <v>1313.4032299999999</v>
      </c>
      <c r="AF21" s="71">
        <f t="shared" si="22"/>
        <v>2472.3339999999998</v>
      </c>
      <c r="AG21" s="71">
        <f t="shared" si="22"/>
        <v>3173.1109999999999</v>
      </c>
      <c r="AH21" s="72"/>
      <c r="AI21" s="51"/>
    </row>
    <row r="22" spans="1:35" s="44" customFormat="1" ht="111.75" customHeight="1" x14ac:dyDescent="0.25">
      <c r="A22" s="413"/>
      <c r="B22" s="467"/>
      <c r="C22" s="73" t="s">
        <v>21</v>
      </c>
      <c r="D22" s="74">
        <f>SUM(J22,L22,N22,P22,R22,T22,V22,X22,Z22,AB22,AD22,AF22)</f>
        <v>21837.220839999998</v>
      </c>
      <c r="E22" s="74">
        <f>J22+L22+N22+P22+R22+T22+V22+X22+Z22+AB22+AD22</f>
        <v>19364.886839999999</v>
      </c>
      <c r="F22" s="74">
        <f>G22</f>
        <v>21599.663360000002</v>
      </c>
      <c r="G22" s="62">
        <f>SUM(K22,M22,O22,Q22,S22,U22,W22,Y22,AA22,AC22,AE22,AG22)</f>
        <v>21599.663360000002</v>
      </c>
      <c r="H22" s="74">
        <f>IFERROR(G22/D22*100,0)</f>
        <v>98.912144170082058</v>
      </c>
      <c r="I22" s="74">
        <f>IFERROR(G22/E22*100,0)</f>
        <v>111.54035413924474</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1973.232</v>
      </c>
      <c r="AA22" s="67">
        <v>2701.2594199999999</v>
      </c>
      <c r="AB22" s="67">
        <v>1734.662</v>
      </c>
      <c r="AC22" s="67">
        <v>1639.47171</v>
      </c>
      <c r="AD22" s="256">
        <v>1791.24584</v>
      </c>
      <c r="AE22" s="256">
        <v>1313.4032299999999</v>
      </c>
      <c r="AF22" s="67">
        <v>2472.3339999999998</v>
      </c>
      <c r="AG22" s="67">
        <v>3173.1109999999999</v>
      </c>
      <c r="AH22" s="75"/>
      <c r="AI22" s="51"/>
    </row>
    <row r="33" spans="34:34" x14ac:dyDescent="0.25">
      <c r="AH33" s="390"/>
    </row>
  </sheetData>
  <customSheetViews>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1"/>
    </customSheetView>
    <customSheetView guid="{C282AA4E-1BB5-4296-9AC6-844C0F88E5FC}" scale="90" hiddenRows="1">
      <pane xSplit="6" ySplit="7" topLeftCell="G8" activePane="bottomRight" state="frozen"/>
      <selection pane="bottomRight" activeCell="F16" sqref="F16"/>
      <pageMargins left="0.7" right="0.7" top="0.75" bottom="0.75" header="0.3" footer="0.3"/>
      <pageSetup paperSize="9" orientation="portrait" r:id="rId2"/>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3"/>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4"/>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5"/>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6"/>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7"/>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8"/>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1"/>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3"/>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4"/>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5"/>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6"/>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7"/>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19"/>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22"/>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23"/>
    </customSheetView>
    <customSheetView guid="{AB9978E4-895D-4050-8F07-2484E22632D1}" scale="55" hiddenRows="1">
      <pane xSplit="6" ySplit="7" topLeftCell="AE8" activePane="bottomRight" state="frozen"/>
      <selection pane="bottomRight" activeCell="B11" sqref="B11:AG11"/>
      <pageMargins left="0.7" right="0.7" top="0.75" bottom="0.75" header="0.3" footer="0.3"/>
      <pageSetup paperSize="9" orientation="portrait" r:id="rId24"/>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25"/>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26"/>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27"/>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28"/>
    </customSheetView>
  </customSheetViews>
  <mergeCells count="34">
    <mergeCell ref="C2:S2"/>
    <mergeCell ref="C3:S3"/>
    <mergeCell ref="A4:A6"/>
    <mergeCell ref="B4:B6"/>
    <mergeCell ref="C4:C6"/>
    <mergeCell ref="D4:D5"/>
    <mergeCell ref="E4:E5"/>
    <mergeCell ref="F4:F5"/>
    <mergeCell ref="G4:G5"/>
    <mergeCell ref="H4:I5"/>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A21:A22"/>
    <mergeCell ref="B21:B22"/>
    <mergeCell ref="A12:A14"/>
    <mergeCell ref="B12:B14"/>
    <mergeCell ref="A15:A17"/>
    <mergeCell ref="B15:B17"/>
    <mergeCell ref="A18:A20"/>
    <mergeCell ref="B18:B20"/>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133BB3F8-8DD4-4AEF-8CD6-A5FB14681329}">
      <pageMargins left="0.7" right="0.7" top="0.75" bottom="0.75" header="0.3" footer="0.3"/>
    </customSheetView>
    <customSheetView guid="{C282AA4E-1BB5-4296-9AC6-844C0F88E5FC}">
      <pageMargins left="0.7" right="0.7" top="0.75" bottom="0.75" header="0.3" footer="0.3"/>
    </customSheetView>
    <customSheetView guid="{B6B60ED6-A6CC-4DA7-A8CA-5E6DB52D5A87}">
      <pageMargins left="0.7" right="0.7" top="0.75" bottom="0.75" header="0.3" footer="0.3"/>
    </customSheetView>
    <customSheetView guid="{A0E2FBF6-E560-4343-8BE6-217DC798135B}">
      <pageMargins left="0.7" right="0.7" top="0.75" bottom="0.75" header="0.3" footer="0.3"/>
    </customSheetView>
    <customSheetView guid="{F528EF6A-C113-49B5-B25F-D660F898CBFB}">
      <pageMargins left="0.7" right="0.7" top="0.75" bottom="0.75" header="0.3" footer="0.3"/>
    </customSheetView>
    <customSheetView guid="{7C5A2A36-3D69-43D9-9018-A52C27EC78F9}">
      <pageMargins left="0.7" right="0.7" top="0.75" bottom="0.75" header="0.3" footer="0.3"/>
    </customSheetView>
    <customSheetView guid="{2A5A11D4-90C6-4A3E-8165-7D7BD634B22F}">
      <pageMargins left="0.7" right="0.7" top="0.75" bottom="0.75" header="0.3" footer="0.3"/>
    </customSheetView>
    <customSheetView guid="{5DF2C78B-5EE4-439D-8D72-8D3A913B65F9}">
      <pageMargins left="0.7" right="0.7" top="0.75" bottom="0.75" header="0.3" footer="0.3"/>
    </customSheetView>
    <customSheetView guid="{4E221C17-6DAB-4FFA-B18C-35D4D85AF6E8}">
      <pageMargins left="0.7" right="0.7" top="0.75" bottom="0.75" header="0.3" footer="0.3"/>
    </customSheetView>
    <customSheetView guid="{BBF6B43F-E0FC-43DF-B91C-674F6AB4B556}">
      <pageMargins left="0.7" right="0.7" top="0.75" bottom="0.75" header="0.3" footer="0.3"/>
    </customSheetView>
    <customSheetView guid="{996EC2F0-F6EC-4E63-A83E-34865157BD8D}">
      <pageMargins left="0.7" right="0.7" top="0.75" bottom="0.75" header="0.3" footer="0.3"/>
    </customSheetView>
    <customSheetView guid="{21E1D423-7B38-4272-8354-09B4DB62C9EB}">
      <pageMargins left="0.7" right="0.7" top="0.75" bottom="0.75" header="0.3" footer="0.3"/>
    </customSheetView>
    <customSheetView guid="{EA46B61D-849C-4795-A4FF-F8F1740022EB}">
      <pageMargins left="0.7" right="0.7" top="0.75" bottom="0.75" header="0.3" footer="0.3"/>
    </customSheetView>
    <customSheetView guid="{B686A221-D885-4536-BEAC-E7F4BBC02150}">
      <pageMargins left="0.7" right="0.7" top="0.75" bottom="0.75" header="0.3" footer="0.3"/>
    </customSheetView>
    <customSheetView guid="{AFADB96A-0516-43C1-9F1B-0604F3CAC04A}">
      <pageMargins left="0.7" right="0.7" top="0.75" bottom="0.75" header="0.3" footer="0.3"/>
    </customSheetView>
    <customSheetView guid="{AB9978E4-895D-4050-8F07-2484E22632D1}">
      <pageMargins left="0.7" right="0.7" top="0.75" bottom="0.75" header="0.3" footer="0.3"/>
    </customSheetView>
    <customSheetView guid="{2940A182-D1A7-43C5-8D6E-965BED4371B0}">
      <pageMargins left="0.7" right="0.7" top="0.75" bottom="0.75" header="0.3" footer="0.3"/>
    </customSheetView>
    <customSheetView guid="{A4AF2100-C59D-4F60-9EAB-56D9103463F7}">
      <pageMargins left="0.7" right="0.7" top="0.75" bottom="0.75" header="0.3" footer="0.3"/>
    </customSheetView>
    <customSheetView guid="{60A1F930-4BEC-460A-8E14-01E47F6DD055}">
      <pageMargins left="0.7" right="0.7" top="0.75" bottom="0.75" header="0.3" footer="0.3"/>
    </customSheetView>
    <customSheetView guid="{30B635D9-57DB-47D5-8A0F-4B30DD769960}">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G11"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33" customFormat="1" ht="31.5" x14ac:dyDescent="0.25">
      <c r="C3" s="473" t="s">
        <v>111</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33" customForma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33" customFormat="1" ht="39" customHeight="1" x14ac:dyDescent="0.25">
      <c r="A5" s="475"/>
      <c r="B5" s="478"/>
      <c r="C5" s="478"/>
      <c r="D5" s="500"/>
      <c r="E5" s="500"/>
      <c r="F5" s="500"/>
      <c r="G5" s="500"/>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33" customFormat="1" ht="63" x14ac:dyDescent="0.25">
      <c r="A6" s="476"/>
      <c r="B6" s="479"/>
      <c r="C6" s="479"/>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12"/>
      <c r="B8" s="465" t="s">
        <v>23</v>
      </c>
      <c r="C8" s="69" t="s">
        <v>20</v>
      </c>
      <c r="D8" s="70">
        <f>D9+D10+D11</f>
        <v>883950.37000000011</v>
      </c>
      <c r="E8" s="70">
        <f>E9+E10+E11</f>
        <v>883950.37000000011</v>
      </c>
      <c r="F8" s="70">
        <f t="shared" ref="F8:G8" si="0">F9+F10+F11</f>
        <v>747505.42000000016</v>
      </c>
      <c r="G8" s="70">
        <f t="shared" si="0"/>
        <v>747505.42000000016</v>
      </c>
      <c r="H8" s="70">
        <f>IFERROR(G8/D8*100,0)</f>
        <v>84.564184299170563</v>
      </c>
      <c r="I8" s="70">
        <f>IFERROR(G8/E8*100,0)</f>
        <v>84.564184299170563</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105914.59999999999</v>
      </c>
      <c r="W8" s="71">
        <f t="shared" si="1"/>
        <v>110414.36000000002</v>
      </c>
      <c r="X8" s="71">
        <f t="shared" si="1"/>
        <v>187723</v>
      </c>
      <c r="Y8" s="71">
        <f t="shared" si="1"/>
        <v>148531.21999999997</v>
      </c>
      <c r="Z8" s="71">
        <f t="shared" si="1"/>
        <v>215911.85</v>
      </c>
      <c r="AA8" s="71">
        <f t="shared" si="1"/>
        <v>233831.98</v>
      </c>
      <c r="AB8" s="71">
        <f t="shared" si="1"/>
        <v>77749.899999999994</v>
      </c>
      <c r="AC8" s="71">
        <f t="shared" si="1"/>
        <v>22035.46</v>
      </c>
      <c r="AD8" s="71">
        <f t="shared" si="1"/>
        <v>16661.93</v>
      </c>
      <c r="AE8" s="71">
        <f t="shared" si="1"/>
        <v>1263.9000000000001</v>
      </c>
      <c r="AF8" s="71">
        <f t="shared" si="1"/>
        <v>5828.4</v>
      </c>
      <c r="AG8" s="71">
        <f t="shared" si="1"/>
        <v>7684.09</v>
      </c>
      <c r="AH8" s="343"/>
    </row>
    <row r="9" spans="1:35" s="44" customFormat="1" ht="31.5" x14ac:dyDescent="0.25">
      <c r="A9" s="435"/>
      <c r="B9" s="466"/>
      <c r="C9" s="347" t="s">
        <v>52</v>
      </c>
      <c r="D9" s="74">
        <f>J9+L9+N9+P9+R9+T9+V9+X9+Z9+AB9+AD9+AF9</f>
        <v>103776.97</v>
      </c>
      <c r="E9" s="62">
        <f>J9+L9+N9+P9+R9+T9+V9+X9+Z9+AB9+AD9+AF9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35"/>
      <c r="B10" s="466"/>
      <c r="C10" s="347" t="s">
        <v>22</v>
      </c>
      <c r="D10" s="74">
        <f t="shared" ref="D10" si="6">J10+L10+N10+P10+R10+T10+V10+X10+Z10+AB10+AD10+AF10</f>
        <v>94618.849999999991</v>
      </c>
      <c r="E10" s="62">
        <f t="shared" ref="E10:E11" si="7">J10+L10+N10+P10+R10+T10+V10+X10+Z10+AB10+AD10+AF10</f>
        <v>94618.849999999991</v>
      </c>
      <c r="F10" s="74">
        <f>F15+F26+F18</f>
        <v>94419.409999999989</v>
      </c>
      <c r="G10" s="74">
        <f t="shared" ref="G10" si="8">G15+G26+G18</f>
        <v>94419.409999999989</v>
      </c>
      <c r="H10" s="74">
        <f>IFERROR(G10/D10*100,0)</f>
        <v>99.789217476221708</v>
      </c>
      <c r="I10" s="74">
        <f>IFERROR(G10/E10*100,0)</f>
        <v>99.789217476221708</v>
      </c>
      <c r="J10" s="74">
        <f t="shared" ref="J10:AG10" si="9">J15+J26+J18</f>
        <v>0</v>
      </c>
      <c r="K10" s="74">
        <f t="shared" si="9"/>
        <v>0</v>
      </c>
      <c r="L10" s="74">
        <f t="shared" si="9"/>
        <v>0</v>
      </c>
      <c r="M10" s="74">
        <f t="shared" si="9"/>
        <v>0</v>
      </c>
      <c r="N10" s="74">
        <f t="shared" si="9"/>
        <v>0</v>
      </c>
      <c r="O10" s="74">
        <f t="shared" si="9"/>
        <v>0</v>
      </c>
      <c r="P10" s="74">
        <f t="shared" si="9"/>
        <v>0</v>
      </c>
      <c r="Q10" s="74">
        <f t="shared" si="9"/>
        <v>0</v>
      </c>
      <c r="R10" s="74">
        <f t="shared" si="9"/>
        <v>40216.19</v>
      </c>
      <c r="S10" s="74">
        <f t="shared" si="9"/>
        <v>39793.949999999997</v>
      </c>
      <c r="T10" s="74">
        <f t="shared" si="9"/>
        <v>0</v>
      </c>
      <c r="U10" s="74">
        <f t="shared" si="9"/>
        <v>111.6</v>
      </c>
      <c r="V10" s="74">
        <f t="shared" si="9"/>
        <v>8991.69</v>
      </c>
      <c r="W10" s="74">
        <f t="shared" si="9"/>
        <v>7474.73</v>
      </c>
      <c r="X10" s="74">
        <f t="shared" si="9"/>
        <v>38602.03</v>
      </c>
      <c r="Y10" s="74">
        <f t="shared" si="9"/>
        <v>39920.06</v>
      </c>
      <c r="Z10" s="74">
        <f t="shared" si="9"/>
        <v>6307.9</v>
      </c>
      <c r="AA10" s="74">
        <f t="shared" si="9"/>
        <v>510.14</v>
      </c>
      <c r="AB10" s="74">
        <f t="shared" si="9"/>
        <v>501.04</v>
      </c>
      <c r="AC10" s="74">
        <f t="shared" si="9"/>
        <v>6107.8</v>
      </c>
      <c r="AD10" s="74">
        <f t="shared" si="9"/>
        <v>0</v>
      </c>
      <c r="AE10" s="74">
        <f t="shared" si="9"/>
        <v>0</v>
      </c>
      <c r="AF10" s="74">
        <f t="shared" si="9"/>
        <v>0</v>
      </c>
      <c r="AG10" s="74">
        <f t="shared" si="9"/>
        <v>501.13</v>
      </c>
      <c r="AH10" s="75"/>
    </row>
    <row r="11" spans="1:35" s="44" customFormat="1" ht="31.5" x14ac:dyDescent="0.25">
      <c r="A11" s="413"/>
      <c r="B11" s="467"/>
      <c r="C11" s="347" t="s">
        <v>21</v>
      </c>
      <c r="D11" s="74">
        <f>J11+L11+N11+P11+R11+T11+V11+X11+Z11+AB11+AD11+AF11</f>
        <v>685554.55</v>
      </c>
      <c r="E11" s="62">
        <f t="shared" si="7"/>
        <v>685554.55</v>
      </c>
      <c r="F11" s="74">
        <f t="shared" ref="F11:G11" si="10">F16+F19+F21+F23+F27</f>
        <v>549309.60000000009</v>
      </c>
      <c r="G11" s="74">
        <f t="shared" si="10"/>
        <v>549309.60000000009</v>
      </c>
      <c r="H11" s="74">
        <f>IFERROR(G11/D11*100,0)</f>
        <v>80.126315258209573</v>
      </c>
      <c r="I11" s="74">
        <f>IFERROR(G11/E11*100,0)</f>
        <v>80.126315258209573</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93017.26</v>
      </c>
      <c r="W11" s="74">
        <f t="shared" si="11"/>
        <v>93917.21</v>
      </c>
      <c r="X11" s="74">
        <f t="shared" si="11"/>
        <v>122183.16999999998</v>
      </c>
      <c r="Y11" s="74">
        <f t="shared" si="11"/>
        <v>106540.31999999999</v>
      </c>
      <c r="Z11" s="74">
        <f t="shared" si="11"/>
        <v>209603.95</v>
      </c>
      <c r="AA11" s="74">
        <f t="shared" si="11"/>
        <v>182819.55000000002</v>
      </c>
      <c r="AB11" s="74">
        <f t="shared" si="11"/>
        <v>77248.86</v>
      </c>
      <c r="AC11" s="74">
        <f t="shared" si="11"/>
        <v>15927.66</v>
      </c>
      <c r="AD11" s="74">
        <f t="shared" si="11"/>
        <v>16661.93</v>
      </c>
      <c r="AE11" s="74">
        <f t="shared" si="11"/>
        <v>1263.9000000000001</v>
      </c>
      <c r="AF11" s="74">
        <f t="shared" si="11"/>
        <v>5828.4</v>
      </c>
      <c r="AG11" s="74">
        <f t="shared" si="11"/>
        <v>7182.96</v>
      </c>
      <c r="AH11" s="75"/>
    </row>
    <row r="12" spans="1:35" s="47" customFormat="1" x14ac:dyDescent="0.25">
      <c r="A12" s="45"/>
      <c r="B12" s="415" t="s">
        <v>49</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46"/>
    </row>
    <row r="13" spans="1:35" s="77" customFormat="1" x14ac:dyDescent="0.25">
      <c r="A13" s="423" t="s">
        <v>50</v>
      </c>
      <c r="B13" s="459"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2"/>
      <c r="AI13" s="76"/>
    </row>
    <row r="14" spans="1:35" s="77" customFormat="1" ht="409.5" customHeight="1" x14ac:dyDescent="0.25">
      <c r="A14" s="424"/>
      <c r="B14" s="460"/>
      <c r="C14" s="346" t="s">
        <v>52</v>
      </c>
      <c r="D14" s="62">
        <f>SUM(J14,L14,N14,P14,R14,T14,V14,X14,Z14,AB14,AD14,AF14)</f>
        <v>103776.97</v>
      </c>
      <c r="E14" s="62">
        <f>J14+L14+N14+P14+R14+T14+V14+X14+Z14+AB14+AD14+AF14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0" t="s">
        <v>390</v>
      </c>
      <c r="AI14" s="76"/>
    </row>
    <row r="15" spans="1:35" s="77" customFormat="1" ht="47.25" x14ac:dyDescent="0.25">
      <c r="A15" s="424"/>
      <c r="B15" s="460"/>
      <c r="C15" s="346" t="s">
        <v>22</v>
      </c>
      <c r="D15" s="62">
        <f>SUM(J15,L15,N15,P15,R15,T15,V15,X15,Z15,AB15,AD15,AF15)</f>
        <v>84418.84</v>
      </c>
      <c r="E15" s="62">
        <f t="shared" ref="E15:E16" si="38">J15+L15+N15+P15+R15+T15+V15+X15+Z15+AB15+AD15+AF15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1"/>
      <c r="AI15" s="76"/>
    </row>
    <row r="16" spans="1:35" s="50" customFormat="1" ht="31.5" x14ac:dyDescent="0.25">
      <c r="A16" s="425"/>
      <c r="B16" s="461"/>
      <c r="C16" s="346"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2"/>
      <c r="AI16" s="49"/>
    </row>
    <row r="17" spans="1:35" s="50" customFormat="1" ht="195" customHeight="1" x14ac:dyDescent="0.25">
      <c r="A17" s="344" t="s">
        <v>329</v>
      </c>
      <c r="B17" s="345" t="s">
        <v>332</v>
      </c>
      <c r="C17" s="57" t="s">
        <v>20</v>
      </c>
      <c r="D17" s="58">
        <f>D19+D18</f>
        <v>55569.380000000005</v>
      </c>
      <c r="E17" s="58">
        <f>E19+E18</f>
        <v>55569.380000000005</v>
      </c>
      <c r="F17" s="58">
        <f>F18+F19</f>
        <v>54801.570000000007</v>
      </c>
      <c r="G17" s="58">
        <f>G18+G19</f>
        <v>54801.570000000007</v>
      </c>
      <c r="H17" s="58">
        <f t="shared" ref="H17:H23" si="39">IFERROR(G17/D17*100,0)</f>
        <v>98.618285825755123</v>
      </c>
      <c r="I17" s="58">
        <f t="shared" ref="I17:I23" si="40">IFERROR(G17/E17*100,0)</f>
        <v>98.618285825755123</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3078.4</v>
      </c>
      <c r="AG17" s="58">
        <f t="shared" si="42"/>
        <v>5387.21</v>
      </c>
      <c r="AH17" s="365" t="s">
        <v>391</v>
      </c>
      <c r="AI17" s="49"/>
    </row>
    <row r="18" spans="1:35" s="50" customFormat="1" ht="45" x14ac:dyDescent="0.25">
      <c r="A18" s="344"/>
      <c r="B18" s="345"/>
      <c r="C18" s="272" t="s">
        <v>22</v>
      </c>
      <c r="D18" s="62">
        <f>SUM(J18,L18,N18,P18,R18,T18,V18,X18,Z18,AB18,AD18,AF18)</f>
        <v>10200.01</v>
      </c>
      <c r="E18" s="62">
        <f>J18+L18+N18+P18+R18+T18+V18+X18+Z18+AB18+AD18+AF18</f>
        <v>10200.01</v>
      </c>
      <c r="F18" s="62">
        <f>G18</f>
        <v>10000</v>
      </c>
      <c r="G18" s="62">
        <f>SUM(K18,M18,O18,Q18,S18,U18,W18,Y18,AA18,AC18,AE18,AG18)</f>
        <v>10000</v>
      </c>
      <c r="H18" s="62">
        <f>IFERROR(G18/D18*100,0)</f>
        <v>98.039119569490623</v>
      </c>
      <c r="I18" s="62">
        <f t="shared" si="40"/>
        <v>98.039119569490623</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501.13</v>
      </c>
      <c r="AH18" s="363"/>
      <c r="AI18" s="49"/>
    </row>
    <row r="19" spans="1:35" s="50" customFormat="1" ht="31.5" x14ac:dyDescent="0.25">
      <c r="A19" s="344"/>
      <c r="B19" s="345"/>
      <c r="C19" s="346" t="s">
        <v>21</v>
      </c>
      <c r="D19" s="62">
        <f>SUM(J19,L19,N19,P19,R19,T19,V19,X19,Z19,AB19,AD19,AF19)</f>
        <v>45369.37</v>
      </c>
      <c r="E19" s="62">
        <f t="shared" ref="E19" si="43">J19+L19+N19+P19+R19+T19+V19+X19+Z19+AB19+AD19+AF19</f>
        <v>45369.37</v>
      </c>
      <c r="F19" s="62">
        <f>G19</f>
        <v>44801.570000000007</v>
      </c>
      <c r="G19" s="62">
        <f>SUM(K19,M19,O19,Q19,S19,U19,W19,Y19,AA19,AC19,AE19,AG19)</f>
        <v>44801.570000000007</v>
      </c>
      <c r="H19" s="62">
        <f>IFERROR(G19/D19*100,0)</f>
        <v>98.748494854568193</v>
      </c>
      <c r="I19" s="62">
        <f t="shared" si="40"/>
        <v>98.748494854568193</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3078.4</v>
      </c>
      <c r="AG19" s="62">
        <v>4886.08</v>
      </c>
      <c r="AH19" s="364"/>
      <c r="AI19" s="49"/>
    </row>
    <row r="20" spans="1:35" s="50" customFormat="1" ht="409.5" x14ac:dyDescent="0.25">
      <c r="A20" s="453" t="s">
        <v>37</v>
      </c>
      <c r="B20" s="459" t="s">
        <v>331</v>
      </c>
      <c r="C20" s="57" t="s">
        <v>20</v>
      </c>
      <c r="D20" s="58">
        <f>D21</f>
        <v>19265.259999999998</v>
      </c>
      <c r="E20" s="58">
        <f t="shared" ref="E20:G20" si="44">E21</f>
        <v>19265.259999999998</v>
      </c>
      <c r="F20" s="58">
        <f t="shared" si="44"/>
        <v>19265.030000000002</v>
      </c>
      <c r="G20" s="58">
        <f t="shared" si="44"/>
        <v>19265.030000000002</v>
      </c>
      <c r="H20" s="58">
        <f t="shared" si="39"/>
        <v>99.998806141209641</v>
      </c>
      <c r="I20" s="58">
        <f t="shared" si="40"/>
        <v>99.998806141209641</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976</v>
      </c>
      <c r="W20" s="59">
        <f t="shared" si="45"/>
        <v>976</v>
      </c>
      <c r="X20" s="59">
        <f t="shared" si="45"/>
        <v>5498.95</v>
      </c>
      <c r="Y20" s="59">
        <f t="shared" si="45"/>
        <v>5702.16</v>
      </c>
      <c r="Z20" s="59">
        <f t="shared" si="45"/>
        <v>321.75</v>
      </c>
      <c r="AA20" s="59">
        <f t="shared" si="45"/>
        <v>0</v>
      </c>
      <c r="AB20" s="59">
        <f t="shared" si="45"/>
        <v>11478.56</v>
      </c>
      <c r="AC20" s="59">
        <f t="shared" si="45"/>
        <v>9299.99</v>
      </c>
      <c r="AD20" s="59">
        <f t="shared" si="45"/>
        <v>0</v>
      </c>
      <c r="AE20" s="59">
        <f t="shared" si="45"/>
        <v>0</v>
      </c>
      <c r="AF20" s="59">
        <f t="shared" si="45"/>
        <v>0</v>
      </c>
      <c r="AG20" s="59">
        <f t="shared" si="45"/>
        <v>2296.88</v>
      </c>
      <c r="AH20" s="143" t="s">
        <v>379</v>
      </c>
      <c r="AI20" s="49"/>
    </row>
    <row r="21" spans="1:35" s="50" customFormat="1" ht="31.5" x14ac:dyDescent="0.25">
      <c r="A21" s="499"/>
      <c r="B21" s="461"/>
      <c r="C21" s="346" t="s">
        <v>21</v>
      </c>
      <c r="D21" s="62">
        <f>SUM(J21,L21,N21,P21,R21,T21,V21,X21,Z21,AB21,AD21,AF21)</f>
        <v>19265.259999999998</v>
      </c>
      <c r="E21" s="62">
        <f>J21+L21+N21+P21+R21+T21+V21+X21+Z21+AB21+AD21+AF21</f>
        <v>19265.259999999998</v>
      </c>
      <c r="F21" s="62">
        <f>G21</f>
        <v>19265.030000000002</v>
      </c>
      <c r="G21" s="62">
        <f>SUM(K21,M21,O21,Q21,S21,U21,W21,Y21,AA21,AC21,AE21,AG21)</f>
        <v>19265.030000000002</v>
      </c>
      <c r="H21" s="62">
        <f t="shared" si="39"/>
        <v>99.998806141209641</v>
      </c>
      <c r="I21" s="62">
        <f t="shared" si="40"/>
        <v>99.998806141209641</v>
      </c>
      <c r="J21" s="63">
        <v>0</v>
      </c>
      <c r="K21" s="63">
        <v>0</v>
      </c>
      <c r="L21" s="63">
        <v>0</v>
      </c>
      <c r="M21" s="63">
        <v>0</v>
      </c>
      <c r="N21" s="63">
        <v>0</v>
      </c>
      <c r="O21" s="63">
        <v>0</v>
      </c>
      <c r="P21" s="63">
        <v>990</v>
      </c>
      <c r="Q21" s="63">
        <v>990</v>
      </c>
      <c r="R21" s="63">
        <v>0</v>
      </c>
      <c r="S21" s="63">
        <v>0</v>
      </c>
      <c r="T21" s="63">
        <v>0</v>
      </c>
      <c r="U21" s="63">
        <v>0</v>
      </c>
      <c r="V21" s="63">
        <v>976</v>
      </c>
      <c r="W21" s="63">
        <v>976</v>
      </c>
      <c r="X21" s="63">
        <v>5498.95</v>
      </c>
      <c r="Y21" s="63">
        <v>5702.16</v>
      </c>
      <c r="Z21" s="63">
        <v>321.75</v>
      </c>
      <c r="AA21" s="63">
        <v>0</v>
      </c>
      <c r="AB21" s="63">
        <v>11478.56</v>
      </c>
      <c r="AC21" s="63">
        <v>9299.99</v>
      </c>
      <c r="AD21" s="63">
        <v>0</v>
      </c>
      <c r="AE21" s="63">
        <v>0</v>
      </c>
      <c r="AF21" s="63">
        <v>0</v>
      </c>
      <c r="AG21" s="63">
        <v>2296.88</v>
      </c>
      <c r="AH21" s="342"/>
      <c r="AI21" s="49"/>
    </row>
    <row r="22" spans="1:35" s="50" customFormat="1" ht="205.5" customHeight="1" x14ac:dyDescent="0.25">
      <c r="A22" s="453" t="s">
        <v>51</v>
      </c>
      <c r="B22" s="459" t="s">
        <v>330</v>
      </c>
      <c r="C22" s="57" t="s">
        <v>20</v>
      </c>
      <c r="D22" s="58">
        <f>SUM(J22,L22,N22,P22,R22,T22,V22,X22,Z22,AB22,AD22,AF22)</f>
        <v>15000</v>
      </c>
      <c r="E22" s="58">
        <f>E23</f>
        <v>15000</v>
      </c>
      <c r="F22" s="58">
        <f t="shared" ref="F22" si="46">F23</f>
        <v>12250</v>
      </c>
      <c r="G22" s="58">
        <f>G23</f>
        <v>12250</v>
      </c>
      <c r="H22" s="58">
        <f t="shared" si="39"/>
        <v>81.666666666666671</v>
      </c>
      <c r="I22" s="58">
        <f t="shared" si="40"/>
        <v>81.666666666666671</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380</v>
      </c>
      <c r="AI22" s="49"/>
    </row>
    <row r="23" spans="1:35" s="50" customFormat="1" ht="31.5" x14ac:dyDescent="0.25">
      <c r="A23" s="499"/>
      <c r="B23" s="461"/>
      <c r="C23" s="346" t="s">
        <v>21</v>
      </c>
      <c r="D23" s="62">
        <f>SUM(J23,L23,N23,P23,R23,T23,V23,X23,Z23,AB23,AD23,AF23)</f>
        <v>15000</v>
      </c>
      <c r="E23" s="62">
        <f>J23+L23+N23+P23+R23+T23+V23+X23+Z23+AB23+AD23+AF23</f>
        <v>15000</v>
      </c>
      <c r="F23" s="62">
        <f>G23</f>
        <v>12250</v>
      </c>
      <c r="G23" s="62">
        <f>SUM(K23,M23,O23,Q23,S23,U23,W23,Y23,AA23,AC23,AE23,AG23)</f>
        <v>12250</v>
      </c>
      <c r="H23" s="62">
        <f t="shared" si="39"/>
        <v>81.666666666666671</v>
      </c>
      <c r="I23" s="62">
        <f t="shared" si="40"/>
        <v>81.666666666666671</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2"/>
      <c r="AI23" s="49"/>
    </row>
    <row r="24" spans="1:35" s="80" customFormat="1" x14ac:dyDescent="0.25">
      <c r="A24" s="78"/>
      <c r="B24" s="490" t="s">
        <v>54</v>
      </c>
      <c r="C24" s="491"/>
      <c r="D24" s="491"/>
      <c r="E24" s="491"/>
      <c r="F24" s="491"/>
      <c r="G24" s="491"/>
      <c r="H24" s="491"/>
      <c r="I24" s="491"/>
      <c r="J24" s="491"/>
      <c r="K24" s="491"/>
      <c r="L24" s="491"/>
      <c r="M24" s="491"/>
      <c r="N24" s="491"/>
      <c r="O24" s="491"/>
      <c r="P24" s="491"/>
      <c r="Q24" s="491"/>
      <c r="R24" s="491"/>
      <c r="S24" s="491"/>
      <c r="T24" s="491"/>
      <c r="U24" s="491"/>
      <c r="V24" s="491"/>
      <c r="W24" s="491"/>
      <c r="X24" s="491"/>
      <c r="Y24" s="491"/>
      <c r="Z24" s="491"/>
      <c r="AA24" s="491"/>
      <c r="AB24" s="491"/>
      <c r="AC24" s="491"/>
      <c r="AD24" s="491"/>
      <c r="AE24" s="491"/>
      <c r="AF24" s="491"/>
      <c r="AG24" s="492"/>
      <c r="AH24" s="52"/>
      <c r="AI24" s="79"/>
    </row>
    <row r="25" spans="1:35" s="42" customFormat="1" x14ac:dyDescent="0.25">
      <c r="A25" s="493" t="s">
        <v>55</v>
      </c>
      <c r="B25" s="496"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94"/>
      <c r="B26" s="497"/>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95"/>
      <c r="B27" s="498"/>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1"/>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
    </customSheetView>
    <customSheetView guid="{B6B60ED6-A6CC-4DA7-A8CA-5E6DB52D5A87}" scale="80">
      <pane xSplit="6" ySplit="7" topLeftCell="G8" activePane="bottomRight" state="frozen"/>
      <selection pane="bottomRight" activeCell="Q32" sqref="Q32"/>
      <pageMargins left="0.7" right="0.7" top="0.75" bottom="0.75" header="0.3" footer="0.3"/>
      <pageSetup paperSize="9" orientation="portrait" r:id="rId3"/>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4"/>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5"/>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6"/>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7"/>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8"/>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9"/>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2"/>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3"/>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4"/>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6"/>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7"/>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18"/>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20"/>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1"/>
    </customSheetView>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22"/>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23"/>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24"/>
    </customSheetView>
    <customSheetView guid="{2940A182-D1A7-43C5-8D6E-965BED4371B0}" scale="80">
      <pane xSplit="6" ySplit="7" topLeftCell="G8" activePane="bottomRight" state="frozen"/>
      <selection pane="bottomRight" activeCell="C3" sqref="C3:S3"/>
      <pageMargins left="0.7" right="0.7" top="0.75" bottom="0.75" header="0.3" footer="0.3"/>
      <pageSetup paperSize="9" orientation="portrait" r:id="rId25"/>
    </customSheetView>
    <customSheetView guid="{A4AF2100-C59D-4F60-9EAB-56D9103463F7}" scale="80">
      <pane xSplit="6" ySplit="7" topLeftCell="G8" activePane="bottomRight" state="frozen"/>
      <selection pane="bottomRight" activeCell="D8" sqref="D8"/>
      <pageMargins left="0.7" right="0.7" top="0.75" bottom="0.75" header="0.3" footer="0.3"/>
      <pageSetup paperSize="9" orientation="portrait" r:id="rId26"/>
    </customSheetView>
    <customSheetView guid="{60A1F930-4BEC-460A-8E14-01E47F6DD055}" scale="80">
      <pane xSplit="6" ySplit="4" topLeftCell="G47" activePane="bottomRight" state="frozen"/>
      <selection pane="bottomRight" activeCell="C3" sqref="C3:S3"/>
      <pageMargins left="0.7" right="0.7" top="0.75" bottom="0.75" header="0.3" footer="0.3"/>
      <pageSetup paperSize="9" orientation="portrait" r:id="rId27"/>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24:AG24"/>
    <mergeCell ref="A25:A27"/>
    <mergeCell ref="B25:B27"/>
    <mergeCell ref="A20:A21"/>
    <mergeCell ref="B20:B21"/>
    <mergeCell ref="A22:A23"/>
    <mergeCell ref="B22:B23"/>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09"/>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146"/>
      <c r="V2" s="35"/>
      <c r="W2" s="35"/>
      <c r="X2" s="35"/>
      <c r="Y2" s="35"/>
      <c r="Z2" s="35"/>
      <c r="AA2" s="35"/>
      <c r="AB2" s="35"/>
      <c r="AC2" s="35"/>
      <c r="AD2" s="35"/>
      <c r="AE2" s="35"/>
      <c r="AF2" s="35"/>
      <c r="AG2" s="35"/>
      <c r="AH2" s="35"/>
    </row>
    <row r="3" spans="1:35" s="10" customFormat="1" ht="27" customHeight="1" x14ac:dyDescent="0.25">
      <c r="A3" s="55"/>
      <c r="B3" s="55"/>
      <c r="C3" s="473" t="s">
        <v>112</v>
      </c>
      <c r="D3" s="473"/>
      <c r="E3" s="473"/>
      <c r="F3" s="473"/>
      <c r="G3" s="473"/>
      <c r="H3" s="473"/>
      <c r="I3" s="473"/>
      <c r="J3" s="473"/>
      <c r="K3" s="473"/>
      <c r="L3" s="473"/>
      <c r="M3" s="473"/>
      <c r="N3" s="473"/>
      <c r="O3" s="473"/>
      <c r="P3" s="473"/>
      <c r="Q3" s="473"/>
      <c r="R3" s="473"/>
      <c r="S3" s="473"/>
      <c r="T3" s="36"/>
      <c r="U3" s="147"/>
      <c r="V3" s="36"/>
      <c r="W3" s="36"/>
      <c r="X3" s="36"/>
      <c r="Y3" s="36"/>
      <c r="Z3" s="36"/>
      <c r="AA3" s="36"/>
      <c r="AB3" s="36"/>
      <c r="AC3" s="36"/>
      <c r="AD3" s="37"/>
      <c r="AE3" s="37"/>
      <c r="AF3" s="37"/>
      <c r="AG3" s="37" t="s">
        <v>0</v>
      </c>
      <c r="AH3" s="37"/>
    </row>
    <row r="4" spans="1:35" s="10" customFormat="1" ht="15" customHeight="1" x14ac:dyDescent="0.25">
      <c r="A4" s="474" t="s">
        <v>26</v>
      </c>
      <c r="B4" s="477" t="s">
        <v>29</v>
      </c>
      <c r="C4" s="480" t="s">
        <v>30</v>
      </c>
      <c r="D4" s="483"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81"/>
      <c r="D5" s="484"/>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82"/>
      <c r="D6" s="121">
        <v>2025</v>
      </c>
      <c r="E6" s="39">
        <v>46022</v>
      </c>
      <c r="F6" s="39">
        <v>45748</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62"/>
      <c r="B8" s="465" t="s">
        <v>23</v>
      </c>
      <c r="C8" s="123" t="s">
        <v>20</v>
      </c>
      <c r="D8" s="70">
        <f>D9+D10+D12+D11</f>
        <v>866747.97099999979</v>
      </c>
      <c r="E8" s="70">
        <f t="shared" ref="E8:G8" si="0">E9+E10+E12+E11</f>
        <v>866747.97099999979</v>
      </c>
      <c r="F8" s="70">
        <f t="shared" si="0"/>
        <v>756193.09900000005</v>
      </c>
      <c r="G8" s="70">
        <f t="shared" si="0"/>
        <v>756193.09900000005</v>
      </c>
      <c r="H8" s="70">
        <f>IFERROR(G8/D8*100,0)</f>
        <v>87.244865208920146</v>
      </c>
      <c r="I8" s="70">
        <f>IFERROR(G8/E8*100,0)</f>
        <v>87.244865208920146</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80258.464000000007</v>
      </c>
      <c r="Q8" s="71">
        <f t="shared" si="1"/>
        <v>60953.046000000002</v>
      </c>
      <c r="R8" s="71">
        <f t="shared" si="1"/>
        <v>68358.430999999997</v>
      </c>
      <c r="S8" s="71">
        <f t="shared" si="1"/>
        <v>53807.662999999993</v>
      </c>
      <c r="T8" s="71">
        <f t="shared" si="1"/>
        <v>72606.945000000007</v>
      </c>
      <c r="U8" s="71">
        <f t="shared" si="1"/>
        <v>72663.585999999996</v>
      </c>
      <c r="V8" s="71">
        <f t="shared" si="1"/>
        <v>82035.226999999984</v>
      </c>
      <c r="W8" s="71">
        <f t="shared" si="1"/>
        <v>76753.530999999988</v>
      </c>
      <c r="X8" s="71">
        <f t="shared" si="1"/>
        <v>64927.072</v>
      </c>
      <c r="Y8" s="71">
        <f t="shared" si="1"/>
        <v>45559.665000000015</v>
      </c>
      <c r="Z8" s="71">
        <f t="shared" si="1"/>
        <v>49645.079000000005</v>
      </c>
      <c r="AA8" s="71">
        <f t="shared" si="1"/>
        <v>90757.380000000019</v>
      </c>
      <c r="AB8" s="71">
        <f t="shared" si="1"/>
        <v>50512.09199999999</v>
      </c>
      <c r="AC8" s="71">
        <f t="shared" si="1"/>
        <v>48810.896999999997</v>
      </c>
      <c r="AD8" s="71">
        <f t="shared" si="1"/>
        <v>38333.391999999993</v>
      </c>
      <c r="AE8" s="71">
        <f t="shared" si="1"/>
        <v>33381.203000000001</v>
      </c>
      <c r="AF8" s="71">
        <f t="shared" si="1"/>
        <v>85746.341</v>
      </c>
      <c r="AG8" s="71">
        <f t="shared" si="1"/>
        <v>85217.445999999996</v>
      </c>
      <c r="AH8" s="72"/>
    </row>
    <row r="9" spans="1:35" s="26" customFormat="1" ht="26.25" customHeight="1" x14ac:dyDescent="0.25">
      <c r="A9" s="463"/>
      <c r="B9" s="466"/>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63"/>
      <c r="B10" s="466"/>
      <c r="C10" s="124" t="s">
        <v>22</v>
      </c>
      <c r="D10" s="74">
        <f t="shared" ref="D10:D12" si="5">J10+L10+N10+P10+R10+T10+V10+X10+Z10+AB10+AD10+AF10</f>
        <v>10948.086000000001</v>
      </c>
      <c r="E10" s="74">
        <f>J10+L10+N10+P10+R10+T10+V10+X10+Z10+AB10+AD10+AF10</f>
        <v>10948.086000000001</v>
      </c>
      <c r="F10" s="74">
        <f t="shared" ref="F10:F12" si="6">G10</f>
        <v>7511.9250000000002</v>
      </c>
      <c r="G10" s="74">
        <f t="shared" ref="G10:G12" si="7">K10+M10+O10+Q10+S10+U10+W10+Y10+AA10+AC10+AE10+AG10</f>
        <v>7511.9250000000002</v>
      </c>
      <c r="H10" s="74">
        <f>IFERROR(G10/D10*100,0)</f>
        <v>68.614048154170504</v>
      </c>
      <c r="I10" s="74">
        <f>IFERROR(G10/E10*100,0)</f>
        <v>68.614048154170504</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22.1</v>
      </c>
      <c r="AF10" s="74">
        <f t="shared" si="8"/>
        <v>32.94</v>
      </c>
      <c r="AG10" s="74">
        <f t="shared" si="8"/>
        <v>32.94</v>
      </c>
      <c r="AH10" s="75"/>
    </row>
    <row r="11" spans="1:35" s="26" customFormat="1" ht="40.5" customHeight="1" x14ac:dyDescent="0.25">
      <c r="A11" s="463"/>
      <c r="B11" s="466"/>
      <c r="C11" s="124" t="s">
        <v>21</v>
      </c>
      <c r="D11" s="74">
        <f>J11+L11+N11+P11+R11+T11+V11+X11+Z11+AB11+AD11+AF11</f>
        <v>811396.50099999981</v>
      </c>
      <c r="E11" s="74">
        <f>J11+L11+N11+P11+R11+T11+V11+X11+Z11+AB11+AD11+AF11</f>
        <v>811396.50099999981</v>
      </c>
      <c r="F11" s="74">
        <f t="shared" si="6"/>
        <v>712998.87</v>
      </c>
      <c r="G11" s="74">
        <f t="shared" si="7"/>
        <v>712998.87</v>
      </c>
      <c r="H11" s="74">
        <f>IFERROR(G11/D11*100,0)</f>
        <v>87.873052092444283</v>
      </c>
      <c r="I11" s="74">
        <f>IFERROR(G11/E11*100,0)</f>
        <v>87.873052092444283</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74637.006000000008</v>
      </c>
      <c r="Q11" s="74">
        <f t="shared" si="9"/>
        <v>56910.743999999999</v>
      </c>
      <c r="R11" s="74">
        <f t="shared" si="9"/>
        <v>61878.025999999998</v>
      </c>
      <c r="S11" s="74">
        <f t="shared" si="9"/>
        <v>47327.901999999995</v>
      </c>
      <c r="T11" s="74">
        <f t="shared" si="9"/>
        <v>67553.751000000004</v>
      </c>
      <c r="U11" s="74">
        <f t="shared" si="9"/>
        <v>66967.485000000001</v>
      </c>
      <c r="V11" s="74">
        <f t="shared" si="9"/>
        <v>76496.09699999998</v>
      </c>
      <c r="W11" s="74">
        <f t="shared" si="9"/>
        <v>71482.471999999994</v>
      </c>
      <c r="X11" s="74">
        <f t="shared" si="9"/>
        <v>63290.557999999997</v>
      </c>
      <c r="Y11" s="74">
        <f t="shared" si="9"/>
        <v>44655.602000000014</v>
      </c>
      <c r="Z11" s="74">
        <f t="shared" si="9"/>
        <v>41869.825000000004</v>
      </c>
      <c r="AA11" s="74">
        <f t="shared" si="9"/>
        <v>89258.030000000013</v>
      </c>
      <c r="AB11" s="74">
        <f t="shared" si="9"/>
        <v>47873.733999999989</v>
      </c>
      <c r="AC11" s="74">
        <f t="shared" si="9"/>
        <v>46770.403999999995</v>
      </c>
      <c r="AD11" s="74">
        <f t="shared" si="9"/>
        <v>35801.060999999994</v>
      </c>
      <c r="AE11" s="74">
        <f t="shared" si="9"/>
        <v>29722.404999999999</v>
      </c>
      <c r="AF11" s="74">
        <f t="shared" si="9"/>
        <v>77843.192999999999</v>
      </c>
      <c r="AG11" s="74">
        <f t="shared" si="9"/>
        <v>77432.536999999997</v>
      </c>
      <c r="AH11" s="75"/>
    </row>
    <row r="12" spans="1:35" s="26" customFormat="1" ht="34.5" customHeight="1" x14ac:dyDescent="0.25">
      <c r="A12" s="464"/>
      <c r="B12" s="467"/>
      <c r="C12" s="124" t="s">
        <v>113</v>
      </c>
      <c r="D12" s="74">
        <f t="shared" si="5"/>
        <v>37669.366999999998</v>
      </c>
      <c r="E12" s="74">
        <f>J12+L12+N12+P12+R12+T12+V12+X12+Z12+AB12+AD12+AF12</f>
        <v>37669.366999999998</v>
      </c>
      <c r="F12" s="74">
        <f t="shared" si="6"/>
        <v>31145.17</v>
      </c>
      <c r="G12" s="74">
        <f t="shared" si="7"/>
        <v>31145.17</v>
      </c>
      <c r="H12" s="74">
        <f>IFERROR(G12/D12*100,0)</f>
        <v>82.680364658105361</v>
      </c>
      <c r="I12" s="74">
        <f>IFERROR(G12/E12*100,0)</f>
        <v>82.680364658105361</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2291.7709999999997</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2616.2579999999998</v>
      </c>
      <c r="AC12" s="74">
        <f t="shared" si="10"/>
        <v>2018.393</v>
      </c>
      <c r="AD12" s="74">
        <f t="shared" si="10"/>
        <v>2510.2309999999998</v>
      </c>
      <c r="AE12" s="74">
        <f t="shared" si="10"/>
        <v>3636.6979999999999</v>
      </c>
      <c r="AF12" s="74">
        <f t="shared" si="10"/>
        <v>7870.2079999999996</v>
      </c>
      <c r="AG12" s="74">
        <f t="shared" si="10"/>
        <v>7751.9690000000001</v>
      </c>
      <c r="AH12" s="75"/>
    </row>
    <row r="13" spans="1:35" s="22" customFormat="1" ht="18.75" customHeight="1" x14ac:dyDescent="0.25">
      <c r="A13" s="66"/>
      <c r="B13" s="415" t="s">
        <v>114</v>
      </c>
      <c r="C13" s="416"/>
      <c r="D13" s="416"/>
      <c r="E13" s="416"/>
      <c r="F13" s="416"/>
      <c r="G13" s="416"/>
      <c r="H13" s="416"/>
      <c r="I13" s="416"/>
      <c r="J13" s="416"/>
      <c r="K13" s="416"/>
      <c r="L13" s="416"/>
      <c r="M13" s="416"/>
      <c r="N13" s="416"/>
      <c r="O13" s="416"/>
      <c r="P13" s="416"/>
      <c r="Q13" s="416"/>
      <c r="R13" s="416"/>
      <c r="S13" s="416"/>
      <c r="T13" s="416"/>
      <c r="U13" s="416"/>
      <c r="V13" s="416"/>
      <c r="W13" s="416"/>
      <c r="X13" s="416"/>
      <c r="Y13" s="416"/>
      <c r="Z13" s="416"/>
      <c r="AA13" s="416"/>
      <c r="AB13" s="416"/>
      <c r="AC13" s="416"/>
      <c r="AD13" s="416"/>
      <c r="AE13" s="416"/>
      <c r="AF13" s="416"/>
      <c r="AG13" s="417"/>
      <c r="AH13" s="64"/>
    </row>
    <row r="14" spans="1:35" s="21" customFormat="1" ht="23.25" customHeight="1" x14ac:dyDescent="0.25">
      <c r="A14" s="423" t="s">
        <v>50</v>
      </c>
      <c r="B14" s="429" t="s">
        <v>115</v>
      </c>
      <c r="C14" s="125" t="s">
        <v>20</v>
      </c>
      <c r="D14" s="70">
        <f>D16+D17+D15</f>
        <v>735.90000000000009</v>
      </c>
      <c r="E14" s="58">
        <f t="shared" ref="E14:AG14" si="11">E16+E17+E15</f>
        <v>735.90000000000009</v>
      </c>
      <c r="F14" s="58">
        <f t="shared" si="11"/>
        <v>735.82900000000006</v>
      </c>
      <c r="G14" s="58">
        <f t="shared" si="11"/>
        <v>735.82900000000006</v>
      </c>
      <c r="H14" s="58">
        <f t="shared" ref="H14:H34" si="12">IFERROR(G14/D14*100,0)</f>
        <v>99.990351949993212</v>
      </c>
      <c r="I14" s="58">
        <f t="shared" ref="I14:I34" si="13">IFERROR(G14/E14*100,0)</f>
        <v>99.990351949993212</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24.44</v>
      </c>
      <c r="AF14" s="58">
        <f t="shared" si="11"/>
        <v>36.04</v>
      </c>
      <c r="AG14" s="58">
        <f t="shared" si="11"/>
        <v>37.729999999999997</v>
      </c>
      <c r="AH14" s="60"/>
      <c r="AI14" s="23"/>
    </row>
    <row r="15" spans="1:35" s="21" customFormat="1" ht="17.25" customHeight="1" x14ac:dyDescent="0.25">
      <c r="A15" s="424"/>
      <c r="B15" s="430"/>
      <c r="C15" s="126" t="s">
        <v>52</v>
      </c>
      <c r="D15" s="74">
        <f>SUM(J15,L15,N15,P15,R15,T15,V15,X15,Z15,AB15,AD15,AF15)</f>
        <v>96.4</v>
      </c>
      <c r="E15" s="62">
        <f>J15+T15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24"/>
      <c r="B16" s="430"/>
      <c r="C16" s="126" t="s">
        <v>22</v>
      </c>
      <c r="D16" s="74">
        <f>SUM(J16,L16,N16,P16,R16,T16,V16,X16,Z16,AB16,AD16,AF16)</f>
        <v>492.2000000000001</v>
      </c>
      <c r="E16" s="62">
        <f>J16+L16+N16+P16+R16+T16+V16+X16+Z16+AB16+AD16+AF16</f>
        <v>492.2000000000001</v>
      </c>
      <c r="F16" s="62">
        <f>G16</f>
        <v>492.19500000000005</v>
      </c>
      <c r="G16" s="62">
        <f>SUM(K16,M16,O16,Q16,S16,U16,W16,Y16,AA16,AC16,AE16,AG16)</f>
        <v>492.19500000000005</v>
      </c>
      <c r="H16" s="62">
        <f t="shared" si="12"/>
        <v>99.998984152783407</v>
      </c>
      <c r="I16" s="62">
        <f t="shared" si="13"/>
        <v>99.998984152783407</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22.1</v>
      </c>
      <c r="AF16" s="63">
        <f t="shared" si="15"/>
        <v>32.94</v>
      </c>
      <c r="AG16" s="63">
        <f t="shared" si="15"/>
        <v>32.94</v>
      </c>
      <c r="AH16" s="60"/>
      <c r="AI16" s="23"/>
    </row>
    <row r="17" spans="1:35" s="22" customFormat="1" ht="33" customHeight="1" x14ac:dyDescent="0.25">
      <c r="A17" s="425"/>
      <c r="B17" s="431"/>
      <c r="C17" s="126" t="s">
        <v>21</v>
      </c>
      <c r="D17" s="74">
        <f>SUM(J17,L17,N17,P17,R17,T17,V17,X17,Z17,AB17,AD17,AF17)</f>
        <v>147.30000000000001</v>
      </c>
      <c r="E17" s="62">
        <f>J17+L17+N17+P17+R17+T17+V17+X17+Z17+AB17+AD17+AF17</f>
        <v>147.30000000000001</v>
      </c>
      <c r="F17" s="62">
        <f>G17</f>
        <v>147.22999999999999</v>
      </c>
      <c r="G17" s="62">
        <f>SUM(K17,M17,O17,Q17,S17,U17,W17,Y17,AA17,AC17,AE17,AG17)</f>
        <v>147.22999999999999</v>
      </c>
      <c r="H17" s="62">
        <f t="shared" si="12"/>
        <v>99.95247793618465</v>
      </c>
      <c r="I17" s="62">
        <f t="shared" si="13"/>
        <v>99.95247793618465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2.34</v>
      </c>
      <c r="AF17" s="67">
        <f t="shared" si="15"/>
        <v>3.0999999999999996</v>
      </c>
      <c r="AG17" s="67">
        <f t="shared" si="15"/>
        <v>4.79</v>
      </c>
      <c r="AH17" s="64"/>
      <c r="AI17" s="20"/>
    </row>
    <row r="18" spans="1:35" s="21" customFormat="1" ht="21" customHeight="1" x14ac:dyDescent="0.25">
      <c r="A18" s="423"/>
      <c r="B18" s="451"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24"/>
      <c r="B19" s="452"/>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24"/>
      <c r="B20" s="452"/>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25"/>
      <c r="B21" s="501"/>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23"/>
      <c r="B22" s="451" t="s">
        <v>117</v>
      </c>
      <c r="C22" s="125" t="s">
        <v>20</v>
      </c>
      <c r="D22" s="70">
        <f>D24+D25+D23</f>
        <v>184.29999999999998</v>
      </c>
      <c r="E22" s="58">
        <f t="shared" ref="E22:G22" si="18">E24+E25+E23</f>
        <v>184.29999999999998</v>
      </c>
      <c r="F22" s="58">
        <f t="shared" si="18"/>
        <v>184.29999999999998</v>
      </c>
      <c r="G22" s="58">
        <f t="shared" si="18"/>
        <v>184.29999999999998</v>
      </c>
      <c r="H22" s="58">
        <f t="shared" si="12"/>
        <v>100</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11.65</v>
      </c>
      <c r="AF22" s="58">
        <f t="shared" si="19"/>
        <v>23.34</v>
      </c>
      <c r="AG22" s="58">
        <f t="shared" si="19"/>
        <v>23.34</v>
      </c>
      <c r="AH22" s="60"/>
      <c r="AI22" s="23"/>
    </row>
    <row r="23" spans="1:35" s="21" customFormat="1" ht="36" hidden="1" customHeight="1" x14ac:dyDescent="0.25">
      <c r="A23" s="424"/>
      <c r="B23" s="452"/>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24"/>
      <c r="B24" s="452"/>
      <c r="C24" s="126" t="s">
        <v>22</v>
      </c>
      <c r="D24" s="74">
        <f>SUM(J24,L24,N24,P24,R24,T24,V24,X24,Z24,AB24,AD24,AF24)</f>
        <v>147.39999999999998</v>
      </c>
      <c r="E24" s="62">
        <f>J24+L24+N24+P24+R24+T24++V24+X24+Z24+AB24+AD24+AF24</f>
        <v>147.39999999999998</v>
      </c>
      <c r="F24" s="62">
        <f>G24</f>
        <v>147.39999999999998</v>
      </c>
      <c r="G24" s="62">
        <f>SUM(K24,M24,O24,Q24,S24,U24,W24,Y24,AA24,AC24,AE24,AG24)</f>
        <v>147.39999999999998</v>
      </c>
      <c r="H24" s="62">
        <f t="shared" si="12"/>
        <v>100</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10.1</v>
      </c>
      <c r="AF24" s="63">
        <v>20.94</v>
      </c>
      <c r="AG24" s="63">
        <v>20.94</v>
      </c>
      <c r="AH24" s="60"/>
      <c r="AI24" s="23"/>
    </row>
    <row r="25" spans="1:35" s="22" customFormat="1" ht="28.5" customHeight="1" x14ac:dyDescent="0.25">
      <c r="A25" s="425"/>
      <c r="B25" s="501"/>
      <c r="C25" s="126" t="s">
        <v>21</v>
      </c>
      <c r="D25" s="74">
        <f>SUM(J25,L25,N25,P25,R25,T25,V25,X25,Z25,AB25,AD25,AF25)</f>
        <v>36.9</v>
      </c>
      <c r="E25" s="62">
        <f>J25+L25+N25+P25+R25+T25++V25+X25+Z25+AB25+AD25+AF25</f>
        <v>36.9</v>
      </c>
      <c r="F25" s="62">
        <f>G25</f>
        <v>36.9</v>
      </c>
      <c r="G25" s="62">
        <f>SUM(K25,M25,O25,Q25,S25,U25,W25,Y25,AA25,AC25,AE25,AG25)</f>
        <v>36.9</v>
      </c>
      <c r="H25" s="62">
        <f t="shared" si="12"/>
        <v>100</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1.55</v>
      </c>
      <c r="AF25" s="67">
        <v>2.4</v>
      </c>
      <c r="AG25" s="67">
        <v>2.4</v>
      </c>
      <c r="AH25" s="64"/>
      <c r="AI25" s="20"/>
    </row>
    <row r="26" spans="1:35" s="21" customFormat="1" ht="24.75" customHeight="1" x14ac:dyDescent="0.25">
      <c r="A26" s="423"/>
      <c r="B26" s="451" t="s">
        <v>118</v>
      </c>
      <c r="C26" s="125" t="s">
        <v>20</v>
      </c>
      <c r="D26" s="70">
        <f>D28+D29+D27</f>
        <v>277.70000000000005</v>
      </c>
      <c r="E26" s="58">
        <f t="shared" ref="E26:G26" si="20">E28+E29+E27</f>
        <v>277.70000000000005</v>
      </c>
      <c r="F26" s="58">
        <f t="shared" si="20"/>
        <v>277.63</v>
      </c>
      <c r="G26" s="58">
        <f t="shared" si="20"/>
        <v>277.63</v>
      </c>
      <c r="H26" s="58">
        <f t="shared" si="12"/>
        <v>99.974792942023754</v>
      </c>
      <c r="I26" s="58">
        <f t="shared" si="13"/>
        <v>99.974792942023754</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12.79</v>
      </c>
      <c r="AF26" s="58">
        <f t="shared" si="21"/>
        <v>12.7</v>
      </c>
      <c r="AG26" s="58">
        <f t="shared" si="21"/>
        <v>14.39</v>
      </c>
      <c r="AH26" s="252" t="s">
        <v>334</v>
      </c>
      <c r="AI26" s="23"/>
    </row>
    <row r="27" spans="1:35" s="21" customFormat="1" ht="42.75" hidden="1" customHeight="1" x14ac:dyDescent="0.25">
      <c r="A27" s="424"/>
      <c r="B27" s="452"/>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24"/>
      <c r="B28" s="452"/>
      <c r="C28" s="126" t="s">
        <v>22</v>
      </c>
      <c r="D28" s="74">
        <f>SUM(J28,L28,N28,P28,R28,T28,V28,X28,Z28,AB28,AD28,AF28)</f>
        <v>222.10000000000002</v>
      </c>
      <c r="E28" s="62">
        <f t="shared" ref="E28:E33" si="22">J28+L28+N28+P28+R28+T28++V28+X28+Z28+AB28+AD28+AF28</f>
        <v>222.10000000000002</v>
      </c>
      <c r="F28" s="62">
        <f>G28</f>
        <v>222.10000000000002</v>
      </c>
      <c r="G28" s="62">
        <f>SUM(K28,M28,O28,Q28,S28,U28,W28,Y28,AA28,AC28,AE28,AG28)</f>
        <v>222.10000000000002</v>
      </c>
      <c r="H28" s="62">
        <f t="shared" si="12"/>
        <v>100</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12</v>
      </c>
      <c r="AF28" s="63">
        <v>12</v>
      </c>
      <c r="AG28" s="63">
        <v>12</v>
      </c>
      <c r="AH28" s="60"/>
      <c r="AI28" s="23"/>
    </row>
    <row r="29" spans="1:35" s="22" customFormat="1" ht="38.25" customHeight="1" x14ac:dyDescent="0.25">
      <c r="A29" s="425"/>
      <c r="B29" s="501"/>
      <c r="C29" s="126" t="s">
        <v>21</v>
      </c>
      <c r="D29" s="74">
        <f>SUM(J29,L29,N29,P29,R29,T29,V29,X29,Z29,AB29,AD29,AF29)</f>
        <v>55.600000000000023</v>
      </c>
      <c r="E29" s="62">
        <f t="shared" si="22"/>
        <v>55.600000000000023</v>
      </c>
      <c r="F29" s="62">
        <f>G29</f>
        <v>55.529999999999994</v>
      </c>
      <c r="G29" s="62">
        <f>SUM(K29,M29,O29,Q29,S29,U29,W29,Y29,AA29,AC29,AE29,AG29)</f>
        <v>55.529999999999994</v>
      </c>
      <c r="H29" s="62">
        <f t="shared" si="12"/>
        <v>99.874100719424405</v>
      </c>
      <c r="I29" s="62">
        <f t="shared" si="13"/>
        <v>99.874100719424405</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0.79</v>
      </c>
      <c r="AF29" s="67">
        <v>0.7</v>
      </c>
      <c r="AG29" s="67">
        <v>2.39</v>
      </c>
      <c r="AH29" s="64"/>
      <c r="AI29" s="20"/>
    </row>
    <row r="30" spans="1:35" s="21" customFormat="1" ht="21" customHeight="1" x14ac:dyDescent="0.25">
      <c r="A30" s="423" t="s">
        <v>76</v>
      </c>
      <c r="B30" s="429" t="s">
        <v>119</v>
      </c>
      <c r="C30" s="125" t="s">
        <v>20</v>
      </c>
      <c r="D30" s="70">
        <f>D32+D33+D31</f>
        <v>17366.899000000001</v>
      </c>
      <c r="E30" s="58">
        <f t="shared" ref="E30:G30" si="23">E32+E33+E31</f>
        <v>17366.899000000001</v>
      </c>
      <c r="F30" s="58">
        <f t="shared" si="23"/>
        <v>1486.9740000000002</v>
      </c>
      <c r="G30" s="58">
        <f t="shared" si="23"/>
        <v>11618.83</v>
      </c>
      <c r="H30" s="58">
        <f t="shared" si="12"/>
        <v>66.902156798401364</v>
      </c>
      <c r="I30" s="58">
        <f t="shared" si="13"/>
        <v>66.902156798401364</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24"/>
      <c r="B31" s="430"/>
      <c r="C31" s="126" t="s">
        <v>52</v>
      </c>
      <c r="D31" s="74">
        <f>SUM(J31,L31,N31,P31,R31,T31,V31,X31,Z31,AB31,AD31,AF31)</f>
        <v>6637.6170000000002</v>
      </c>
      <c r="E31" s="62">
        <f t="shared" si="22"/>
        <v>6637.6170000000002</v>
      </c>
      <c r="F31" s="62">
        <v>568.322</v>
      </c>
      <c r="G31" s="62">
        <f>SUM(K31,M31,O31,Q31,S31,U31,W31,Y31,AA31,AC31,AE31,AG31)</f>
        <v>4440.7300000000005</v>
      </c>
      <c r="H31" s="62">
        <f t="shared" si="12"/>
        <v>66.902474186142413</v>
      </c>
      <c r="I31" s="62">
        <f t="shared" si="13"/>
        <v>66.902474186142413</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24"/>
      <c r="B32" s="430"/>
      <c r="C32" s="126" t="s">
        <v>22</v>
      </c>
      <c r="D32" s="74">
        <f>SUM(J32,L32,N32,P32,R32,T32,V32,X32,Z32,AB32,AD32,AF32)</f>
        <v>10381.886</v>
      </c>
      <c r="E32" s="62">
        <f t="shared" si="22"/>
        <v>10381.886</v>
      </c>
      <c r="F32" s="62">
        <v>888.91300000000001</v>
      </c>
      <c r="G32" s="62">
        <f>SUM(K32,M32,O32,Q32,S32,U32,W32,Y32,AA32,AC32,AE32,AG32)</f>
        <v>6945.73</v>
      </c>
      <c r="H32" s="62">
        <f t="shared" si="12"/>
        <v>66.902391338144142</v>
      </c>
      <c r="I32" s="62">
        <f t="shared" si="13"/>
        <v>66.902391338144142</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25"/>
      <c r="B33" s="431"/>
      <c r="C33" s="126" t="s">
        <v>21</v>
      </c>
      <c r="D33" s="74">
        <f>SUM(J33,L33,N33,P33,R33,T33,V33,X33,Z33,AB33,AD33,AF33)</f>
        <v>347.39600000000002</v>
      </c>
      <c r="E33" s="62">
        <f t="shared" si="22"/>
        <v>347.39600000000002</v>
      </c>
      <c r="F33" s="62">
        <v>29.739000000000001</v>
      </c>
      <c r="G33" s="62">
        <f>SUM(K33,M33,O33,Q33,S33,U33,W33,Y33,AA33,AC33,AE33,AG33)</f>
        <v>232.36999999999998</v>
      </c>
      <c r="H33" s="62">
        <f t="shared" si="12"/>
        <v>66.88908335156421</v>
      </c>
      <c r="I33" s="62">
        <f t="shared" si="13"/>
        <v>66.88908335156421</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53" t="s">
        <v>37</v>
      </c>
      <c r="B34" s="459" t="s">
        <v>120</v>
      </c>
      <c r="C34" s="125" t="s">
        <v>20</v>
      </c>
      <c r="D34" s="70">
        <f>D36+D35</f>
        <v>630759.73899999983</v>
      </c>
      <c r="E34" s="58">
        <f t="shared" ref="E34:G34" si="25">E36+E35</f>
        <v>34614.751000000004</v>
      </c>
      <c r="F34" s="58">
        <f t="shared" si="25"/>
        <v>598194.31799999997</v>
      </c>
      <c r="G34" s="58">
        <f t="shared" si="25"/>
        <v>598194.31799999997</v>
      </c>
      <c r="H34" s="58">
        <f t="shared" si="12"/>
        <v>94.837111662892639</v>
      </c>
      <c r="I34" s="58">
        <f t="shared" si="13"/>
        <v>1728.1485514658182</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52684.524000000005</v>
      </c>
      <c r="Q34" s="59">
        <f t="shared" si="26"/>
        <v>40002.182999999997</v>
      </c>
      <c r="R34" s="59">
        <f t="shared" si="26"/>
        <v>35283.458999999995</v>
      </c>
      <c r="S34" s="59">
        <f t="shared" si="26"/>
        <v>36653.264000000003</v>
      </c>
      <c r="T34" s="59">
        <f t="shared" si="26"/>
        <v>41095.703000000001</v>
      </c>
      <c r="U34" s="71">
        <f t="shared" si="26"/>
        <v>44417.154000000002</v>
      </c>
      <c r="V34" s="59">
        <f t="shared" si="26"/>
        <v>63060.172999999995</v>
      </c>
      <c r="W34" s="59">
        <f t="shared" si="26"/>
        <v>57378.370999999999</v>
      </c>
      <c r="X34" s="59">
        <f t="shared" si="26"/>
        <v>54619.336000000003</v>
      </c>
      <c r="Y34" s="59">
        <f t="shared" si="26"/>
        <v>41725.26400000001</v>
      </c>
      <c r="Z34" s="59">
        <f t="shared" si="26"/>
        <v>33658.378000000004</v>
      </c>
      <c r="AA34" s="59">
        <f t="shared" si="26"/>
        <v>78382.377000000008</v>
      </c>
      <c r="AB34" s="59">
        <f t="shared" si="26"/>
        <v>30117.618999999999</v>
      </c>
      <c r="AC34" s="59">
        <f t="shared" si="26"/>
        <v>29497.431</v>
      </c>
      <c r="AD34" s="59">
        <f t="shared" si="26"/>
        <v>25214.656000000003</v>
      </c>
      <c r="AE34" s="59">
        <f t="shared" si="26"/>
        <v>33322.262999999999</v>
      </c>
      <c r="AF34" s="59">
        <f t="shared" si="26"/>
        <v>68184.978000000003</v>
      </c>
      <c r="AG34" s="59">
        <f t="shared" si="26"/>
        <v>85074.915999999997</v>
      </c>
      <c r="AH34" s="60"/>
      <c r="AI34" s="20"/>
    </row>
    <row r="35" spans="1:35" s="26" customFormat="1" ht="55.5" customHeight="1" x14ac:dyDescent="0.25">
      <c r="A35" s="454"/>
      <c r="B35" s="460"/>
      <c r="C35" s="124" t="s">
        <v>21</v>
      </c>
      <c r="D35" s="74">
        <f>SUM(J35,L35,N35,P35,R35,T35,V35,X35,Z35,AB35,AD35,AF35)</f>
        <v>598061.56999999983</v>
      </c>
      <c r="E35" s="74">
        <f>J35</f>
        <v>31904.598000000002</v>
      </c>
      <c r="F35" s="74">
        <f>G35</f>
        <v>570304.00799999991</v>
      </c>
      <c r="G35" s="74">
        <f>SUM(K35,M35,O35,Q35,S35,U35,W35,Y35,AA35,AC35,AE35,AG35)</f>
        <v>570304.00799999991</v>
      </c>
      <c r="H35" s="74">
        <f>IFERROR(G35/D35*100,0)</f>
        <v>95.358745087065216</v>
      </c>
      <c r="I35" s="74">
        <f>IFERROR(G35/E35*100,0)</f>
        <v>1787.5292081724392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49059.775000000001</v>
      </c>
      <c r="Q35" s="67">
        <f t="shared" si="27"/>
        <v>37866.860999999997</v>
      </c>
      <c r="R35" s="67">
        <f t="shared" si="27"/>
        <v>33598.795999999995</v>
      </c>
      <c r="S35" s="67">
        <f t="shared" si="27"/>
        <v>34495.373</v>
      </c>
      <c r="T35" s="67">
        <f t="shared" si="27"/>
        <v>39101.461000000003</v>
      </c>
      <c r="U35" s="67">
        <f t="shared" si="27"/>
        <v>42211.781999999999</v>
      </c>
      <c r="V35" s="67">
        <f t="shared" si="27"/>
        <v>60260.496999999996</v>
      </c>
      <c r="W35" s="67">
        <f t="shared" si="27"/>
        <v>54890.031999999999</v>
      </c>
      <c r="X35" s="67">
        <f t="shared" si="27"/>
        <v>53080.502</v>
      </c>
      <c r="Y35" s="67">
        <f t="shared" si="27"/>
        <v>40981.061000000009</v>
      </c>
      <c r="Z35" s="67">
        <f t="shared" si="27"/>
        <v>32091.234000000004</v>
      </c>
      <c r="AA35" s="67">
        <f t="shared" si="27"/>
        <v>77024.937000000005</v>
      </c>
      <c r="AB35" s="67">
        <f t="shared" si="27"/>
        <v>27985.440999999999</v>
      </c>
      <c r="AC35" s="67">
        <f t="shared" si="27"/>
        <v>27597.218000000001</v>
      </c>
      <c r="AD35" s="67">
        <f t="shared" si="27"/>
        <v>22861.665000000001</v>
      </c>
      <c r="AE35" s="67">
        <f t="shared" si="27"/>
        <v>29685.564999999999</v>
      </c>
      <c r="AF35" s="67">
        <f t="shared" si="27"/>
        <v>60482.999000000003</v>
      </c>
      <c r="AG35" s="67">
        <f t="shared" si="27"/>
        <v>77322.947</v>
      </c>
      <c r="AH35" s="72"/>
      <c r="AI35" s="24"/>
    </row>
    <row r="36" spans="1:35" s="26" customFormat="1" ht="37.5" customHeight="1" x14ac:dyDescent="0.25">
      <c r="A36" s="424"/>
      <c r="B36" s="460"/>
      <c r="C36" s="124" t="s">
        <v>113</v>
      </c>
      <c r="D36" s="74">
        <f>SUM(J36,L36,N36,P36,R36,T36,V36,X36,Z36,AB36,AD36,AF36)</f>
        <v>32698.169000000002</v>
      </c>
      <c r="E36" s="74">
        <f>J36</f>
        <v>2710.1529999999998</v>
      </c>
      <c r="F36" s="74">
        <f>G36</f>
        <v>27890.31</v>
      </c>
      <c r="G36" s="74">
        <f>SUM(K36,M36,O36,Q36,S36,U36,W36,Y36,AA36,AC36,AE36,AG36)</f>
        <v>27890.31</v>
      </c>
      <c r="H36" s="74">
        <f>IFERROR(G36/D36*100,0)</f>
        <v>85.296243957880336</v>
      </c>
      <c r="I36" s="74">
        <f>IFERROR(G36/E36*100,0)</f>
        <v>1029.1046298862095</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1994.2419999999997</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2132.1779999999999</v>
      </c>
      <c r="AC36" s="67">
        <f t="shared" si="28"/>
        <v>1900.213</v>
      </c>
      <c r="AD36" s="67">
        <f t="shared" si="28"/>
        <v>2352.991</v>
      </c>
      <c r="AE36" s="67">
        <f t="shared" si="28"/>
        <v>3636.6979999999999</v>
      </c>
      <c r="AF36" s="67">
        <f t="shared" si="28"/>
        <v>7701.9789999999994</v>
      </c>
      <c r="AG36" s="67">
        <f t="shared" si="28"/>
        <v>7751.9690000000001</v>
      </c>
      <c r="AH36" s="72"/>
      <c r="AI36" s="24"/>
    </row>
    <row r="37" spans="1:35" s="22" customFormat="1" ht="30.75" customHeight="1" x14ac:dyDescent="0.25">
      <c r="A37" s="453"/>
      <c r="B37" s="457" t="s">
        <v>121</v>
      </c>
      <c r="C37" s="125" t="s">
        <v>20</v>
      </c>
      <c r="D37" s="70">
        <f>D39+D38</f>
        <v>591128.85899999982</v>
      </c>
      <c r="E37" s="58">
        <f t="shared" ref="E37:G37" si="29">E39+E38</f>
        <v>591128.85899999982</v>
      </c>
      <c r="F37" s="58">
        <f t="shared" si="29"/>
        <v>558843.01699999999</v>
      </c>
      <c r="G37" s="58">
        <f t="shared" si="29"/>
        <v>558843.01699999999</v>
      </c>
      <c r="H37" s="58">
        <f t="shared" ref="H37" si="30">IFERROR(G37/D37*100,0)</f>
        <v>94.538273422377458</v>
      </c>
      <c r="I37" s="58">
        <f t="shared" ref="I37" si="31">IFERROR(G37/E37*100,0)</f>
        <v>94.538273422377458</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33884.758999999998</v>
      </c>
      <c r="S37" s="59">
        <f t="shared" si="32"/>
        <v>36335.264000000003</v>
      </c>
      <c r="T37" s="59">
        <f t="shared" si="32"/>
        <v>41095.703000000001</v>
      </c>
      <c r="U37" s="71">
        <f t="shared" si="32"/>
        <v>42732.774000000005</v>
      </c>
      <c r="V37" s="59">
        <f t="shared" si="32"/>
        <v>63060.172999999995</v>
      </c>
      <c r="W37" s="59">
        <f t="shared" si="32"/>
        <v>56066.468000000001</v>
      </c>
      <c r="X37" s="59">
        <f t="shared" si="32"/>
        <v>53124.536</v>
      </c>
      <c r="Y37" s="59">
        <f t="shared" si="32"/>
        <v>40804.894000000008</v>
      </c>
      <c r="Z37" s="59">
        <f t="shared" si="32"/>
        <v>33630.853000000003</v>
      </c>
      <c r="AA37" s="59">
        <f t="shared" si="32"/>
        <v>78734.377000000008</v>
      </c>
      <c r="AB37" s="59">
        <f t="shared" si="32"/>
        <v>27713.418999999998</v>
      </c>
      <c r="AC37" s="59">
        <f t="shared" si="32"/>
        <v>29369.859</v>
      </c>
      <c r="AD37" s="59">
        <f t="shared" si="32"/>
        <v>25214.656000000003</v>
      </c>
      <c r="AE37" s="59">
        <f t="shared" si="32"/>
        <v>25867.323</v>
      </c>
      <c r="AF37" s="59">
        <f t="shared" si="32"/>
        <v>58317.478000000003</v>
      </c>
      <c r="AG37" s="59">
        <f t="shared" si="32"/>
        <v>73645.945999999996</v>
      </c>
      <c r="AH37" s="60"/>
      <c r="AI37" s="20"/>
    </row>
    <row r="38" spans="1:35" s="22" customFormat="1" ht="54" customHeight="1" x14ac:dyDescent="0.25">
      <c r="A38" s="454"/>
      <c r="B38" s="458"/>
      <c r="C38" s="126" t="s">
        <v>21</v>
      </c>
      <c r="D38" s="74">
        <f>SUM(J38,L38,N38,P38,R38,T38,V38,X38,Z38,AB38,AD38,AF38)</f>
        <v>558430.68999999983</v>
      </c>
      <c r="E38" s="62">
        <f>J38+L38+N38+P38+R38+T38+V38+X38+Z38+AB38+AD38+AF38</f>
        <v>558430.68999999983</v>
      </c>
      <c r="F38" s="62">
        <f>G38</f>
        <v>530952.70699999994</v>
      </c>
      <c r="G38" s="62">
        <f>SUM(K38,M38,O38,Q38,S38,U38,W38,Y38,AA38,AC38,AE38,AG38)</f>
        <v>530952.70699999994</v>
      </c>
      <c r="H38" s="62">
        <f>IFERROR(G38/D38*100,0)</f>
        <v>95.079428209792709</v>
      </c>
      <c r="I38" s="62">
        <f>IFERROR(G38/E38*100,0)</f>
        <v>95.079428209792709</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32200.095999999998</v>
      </c>
      <c r="S38" s="63">
        <f t="shared" si="33"/>
        <v>34177.373</v>
      </c>
      <c r="T38" s="63">
        <f t="shared" si="33"/>
        <v>39101.461000000003</v>
      </c>
      <c r="U38" s="67">
        <f t="shared" si="33"/>
        <v>40527.402000000002</v>
      </c>
      <c r="V38" s="63">
        <f t="shared" si="33"/>
        <v>60260.496999999996</v>
      </c>
      <c r="W38" s="63">
        <f t="shared" si="33"/>
        <v>53578.129000000001</v>
      </c>
      <c r="X38" s="63">
        <f t="shared" si="33"/>
        <v>51585.701999999997</v>
      </c>
      <c r="Y38" s="63">
        <f t="shared" si="33"/>
        <v>40060.691000000006</v>
      </c>
      <c r="Z38" s="63">
        <f t="shared" si="33"/>
        <v>32063.709000000003</v>
      </c>
      <c r="AA38" s="63">
        <f t="shared" si="33"/>
        <v>77376.937000000005</v>
      </c>
      <c r="AB38" s="63">
        <f t="shared" si="33"/>
        <v>25581.240999999998</v>
      </c>
      <c r="AC38" s="63">
        <f>AC41+AC44+AC46+AC48+AC51+AC53+AC55+AC57+AC59+AC62+AC64+AC66</f>
        <v>27469.646000000001</v>
      </c>
      <c r="AD38" s="63">
        <f t="shared" si="33"/>
        <v>22861.665000000001</v>
      </c>
      <c r="AE38" s="63">
        <f t="shared" si="33"/>
        <v>22230.625</v>
      </c>
      <c r="AF38" s="63">
        <f t="shared" si="33"/>
        <v>50615.499000000003</v>
      </c>
      <c r="AG38" s="63">
        <f t="shared" si="33"/>
        <v>65893.976999999999</v>
      </c>
      <c r="AH38" s="60"/>
      <c r="AI38" s="20"/>
    </row>
    <row r="39" spans="1:35" s="22" customFormat="1" ht="46.5" customHeight="1" x14ac:dyDescent="0.25">
      <c r="A39" s="424"/>
      <c r="B39" s="458"/>
      <c r="C39" s="126" t="s">
        <v>113</v>
      </c>
      <c r="D39" s="74">
        <f>SUM(J39,L39,N39,P39,R39,T39,V39,X39,Z39,AB39,AD39,AF39)</f>
        <v>32698.169000000002</v>
      </c>
      <c r="E39" s="62">
        <f>J39+L39+N39+P39+R39+T39+V39+X39+Z39+AB39+AD39+AF39</f>
        <v>32698.169000000002</v>
      </c>
      <c r="F39" s="62">
        <f>G39</f>
        <v>27890.31</v>
      </c>
      <c r="G39" s="62">
        <f>SUM(K39,M39,O39,Q39,S39,U39,W39,Y39,AA39,AC39,AE39,AG39)</f>
        <v>27890.31</v>
      </c>
      <c r="H39" s="62">
        <f>IFERROR(G39/D39*100,0)</f>
        <v>85.296243957880336</v>
      </c>
      <c r="I39" s="62">
        <f>IFERROR(G39/E39*100,0)</f>
        <v>85.296243957880336</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1994.2419999999997</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2132.1779999999999</v>
      </c>
      <c r="AC39" s="63">
        <f t="shared" si="34"/>
        <v>1900.213</v>
      </c>
      <c r="AD39" s="63">
        <f t="shared" si="34"/>
        <v>2352.991</v>
      </c>
      <c r="AE39" s="63">
        <f t="shared" si="34"/>
        <v>3636.6979999999999</v>
      </c>
      <c r="AF39" s="63">
        <f t="shared" si="34"/>
        <v>7701.9789999999994</v>
      </c>
      <c r="AG39" s="63">
        <f t="shared" si="34"/>
        <v>7751.9690000000001</v>
      </c>
      <c r="AH39" s="60"/>
      <c r="AI39" s="20"/>
    </row>
    <row r="40" spans="1:35" s="22" customFormat="1" ht="86.25" customHeight="1" x14ac:dyDescent="0.25">
      <c r="A40" s="437"/>
      <c r="B40" s="440" t="s">
        <v>122</v>
      </c>
      <c r="C40" s="126" t="s">
        <v>20</v>
      </c>
      <c r="D40" s="74">
        <f>D42+D41</f>
        <v>77573.549999999988</v>
      </c>
      <c r="E40" s="62">
        <f t="shared" ref="E40:G40" si="35">E42+E41</f>
        <v>77573.549999999988</v>
      </c>
      <c r="F40" s="62">
        <f t="shared" si="35"/>
        <v>77084.099999999991</v>
      </c>
      <c r="G40" s="62">
        <f t="shared" si="35"/>
        <v>77084.099999999991</v>
      </c>
      <c r="H40" s="62">
        <f t="shared" ref="H40" si="36">IFERROR(G40/D40*100,0)</f>
        <v>99.369050404422637</v>
      </c>
      <c r="I40" s="62">
        <f t="shared" ref="I40" si="37">IFERROR(G40/E40*100,0)</f>
        <v>99.369050404422637</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8121.49</v>
      </c>
      <c r="S40" s="63">
        <f t="shared" si="38"/>
        <v>7645.8600000000006</v>
      </c>
      <c r="T40" s="63">
        <f t="shared" si="38"/>
        <v>7840.67</v>
      </c>
      <c r="U40" s="67">
        <f t="shared" si="38"/>
        <v>7121.1100000000006</v>
      </c>
      <c r="V40" s="63">
        <f t="shared" si="38"/>
        <v>7840.66</v>
      </c>
      <c r="W40" s="63">
        <f t="shared" si="38"/>
        <v>7113.32</v>
      </c>
      <c r="X40" s="63">
        <f t="shared" si="38"/>
        <v>6643.86</v>
      </c>
      <c r="Y40" s="63">
        <f t="shared" si="38"/>
        <v>5956.74</v>
      </c>
      <c r="Z40" s="63">
        <f t="shared" si="38"/>
        <v>6041.02</v>
      </c>
      <c r="AA40" s="63">
        <f t="shared" si="38"/>
        <v>4440.63</v>
      </c>
      <c r="AB40" s="63">
        <f t="shared" si="38"/>
        <v>5311.7400000000007</v>
      </c>
      <c r="AC40" s="63">
        <f t="shared" si="38"/>
        <v>6196.6900000000005</v>
      </c>
      <c r="AD40" s="63">
        <f t="shared" si="38"/>
        <v>5191.72</v>
      </c>
      <c r="AE40" s="63">
        <f t="shared" si="38"/>
        <v>5500.92</v>
      </c>
      <c r="AF40" s="63">
        <f t="shared" si="38"/>
        <v>9514.77</v>
      </c>
      <c r="AG40" s="63">
        <f t="shared" si="38"/>
        <v>12636.07</v>
      </c>
      <c r="AH40" s="381" t="s">
        <v>414</v>
      </c>
      <c r="AI40" s="20"/>
    </row>
    <row r="41" spans="1:35" s="22" customFormat="1" ht="33.75" customHeight="1" x14ac:dyDescent="0.25">
      <c r="A41" s="438"/>
      <c r="B41" s="441"/>
      <c r="C41" s="126" t="s">
        <v>21</v>
      </c>
      <c r="D41" s="74">
        <f>SUM(J41,L41,N41,P41,R41,T41,V41,X41,Z41,AB41,AD41,AF41)</f>
        <v>77436.989999999991</v>
      </c>
      <c r="E41" s="62">
        <f>J41+L41+N41+P41+R41+T41+V41+X41+Z41+AB41+AD41+AF41</f>
        <v>77436.989999999991</v>
      </c>
      <c r="F41" s="62">
        <f>G41</f>
        <v>77021.98</v>
      </c>
      <c r="G41" s="62">
        <f>SUM(K41,M41,O41,Q41,S41,U41,W41,Y41,AA41,AC41,AE41,AG41)</f>
        <v>77021.98</v>
      </c>
      <c r="H41" s="62">
        <f>IFERROR(G41/D41*100,0)</f>
        <v>99.464067495392072</v>
      </c>
      <c r="I41" s="62">
        <f>IFERROR(G41/E41*100,0)</f>
        <v>99.464067495392072</v>
      </c>
      <c r="J41" s="63">
        <v>2602.3000000000002</v>
      </c>
      <c r="K41" s="63">
        <v>1502.18</v>
      </c>
      <c r="L41" s="63">
        <v>6342.9</v>
      </c>
      <c r="M41" s="63">
        <v>6137.73</v>
      </c>
      <c r="N41" s="63">
        <v>6027.2</v>
      </c>
      <c r="O41" s="63">
        <v>5540.2</v>
      </c>
      <c r="P41" s="63">
        <v>6045</v>
      </c>
      <c r="Q41" s="63">
        <v>7274.08</v>
      </c>
      <c r="R41" s="63">
        <v>8120.44</v>
      </c>
      <c r="S41" s="63">
        <v>7636.09</v>
      </c>
      <c r="T41" s="63">
        <v>7840</v>
      </c>
      <c r="U41" s="67">
        <v>7112.22</v>
      </c>
      <c r="V41" s="63">
        <v>7811.4</v>
      </c>
      <c r="W41" s="63">
        <v>7111.88</v>
      </c>
      <c r="X41" s="63">
        <v>6640.5</v>
      </c>
      <c r="Y41" s="63">
        <v>5948.21</v>
      </c>
      <c r="Z41" s="63">
        <v>6040.3</v>
      </c>
      <c r="AA41" s="63">
        <v>4440.2</v>
      </c>
      <c r="AB41" s="63">
        <v>5311.02</v>
      </c>
      <c r="AC41" s="63">
        <v>6195.81</v>
      </c>
      <c r="AD41" s="63">
        <v>5191</v>
      </c>
      <c r="AE41" s="63">
        <v>5499.87</v>
      </c>
      <c r="AF41" s="63">
        <v>9464.93</v>
      </c>
      <c r="AG41" s="63">
        <v>12623.51</v>
      </c>
      <c r="AH41" s="64"/>
      <c r="AI41" s="20"/>
    </row>
    <row r="42" spans="1:35" s="22" customFormat="1" ht="28.5" customHeight="1" x14ac:dyDescent="0.25">
      <c r="A42" s="439"/>
      <c r="B42" s="442"/>
      <c r="C42" s="126" t="s">
        <v>113</v>
      </c>
      <c r="D42" s="74">
        <f>SUM(J42,L42,N42,P42,R42,T42,V42,X42,Z42,AB42,AD42,AF42)</f>
        <v>136.56</v>
      </c>
      <c r="E42" s="62">
        <f>J42+L42+N42+P42+R42+T42+V42+X42+Z42+AB42+AD42+AF42</f>
        <v>136.56</v>
      </c>
      <c r="F42" s="62">
        <f>G42</f>
        <v>62.120000000000005</v>
      </c>
      <c r="G42" s="62">
        <f>SUM(K42,M42,O42,Q42,S42,U42,W42,Y42,AA42,AC42,AE42,AG42)</f>
        <v>62.120000000000005</v>
      </c>
      <c r="H42" s="62">
        <f>IFERROR(G42/D42*100,0)</f>
        <v>45.489162272993561</v>
      </c>
      <c r="I42" s="62">
        <f>IFERROR(G42/E42*100,0)</f>
        <v>45.489162272993561</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0.88</v>
      </c>
      <c r="AD42" s="63">
        <v>0.72</v>
      </c>
      <c r="AE42" s="63">
        <v>1.05</v>
      </c>
      <c r="AF42" s="63">
        <v>49.84</v>
      </c>
      <c r="AG42" s="63">
        <v>12.56</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36"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36"/>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36" t="s">
        <v>124</v>
      </c>
      <c r="C45" s="126" t="s">
        <v>20</v>
      </c>
      <c r="D45" s="74">
        <f t="shared" ref="D45:E45" si="46">D46</f>
        <v>144.60000000000002</v>
      </c>
      <c r="E45" s="62">
        <f t="shared" si="46"/>
        <v>144.60000000000002</v>
      </c>
      <c r="F45" s="62">
        <f t="shared" si="40"/>
        <v>144.6</v>
      </c>
      <c r="G45" s="62">
        <f>G46</f>
        <v>144.6</v>
      </c>
      <c r="H45" s="62">
        <f t="shared" si="41"/>
        <v>99.999999999999972</v>
      </c>
      <c r="I45" s="62">
        <f t="shared" si="42"/>
        <v>99.999999999999972</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28.18</v>
      </c>
      <c r="AH45" s="244" t="s">
        <v>363</v>
      </c>
      <c r="AI45" s="20"/>
    </row>
    <row r="46" spans="1:35" s="22" customFormat="1" ht="37.5" customHeight="1" x14ac:dyDescent="0.25">
      <c r="A46" s="117"/>
      <c r="B46" s="436"/>
      <c r="C46" s="126" t="s">
        <v>21</v>
      </c>
      <c r="D46" s="74">
        <f t="shared" ref="D46" si="48">SUM(J46,L46,N46,P46,R46,T46,V46,X46,Z46,AB46,AD46,AF46)</f>
        <v>144.60000000000002</v>
      </c>
      <c r="E46" s="62">
        <f>J46+L46+N46</f>
        <v>144.60000000000002</v>
      </c>
      <c r="F46" s="62">
        <v>144.6</v>
      </c>
      <c r="G46" s="62">
        <f>SUM(K46,M46,O46,Q46,S46,U46,W46,Y46,AA46,AC46,AE46,AG46)</f>
        <v>144.6</v>
      </c>
      <c r="H46" s="62">
        <f t="shared" si="41"/>
        <v>99.999999999999972</v>
      </c>
      <c r="I46" s="62">
        <f t="shared" si="42"/>
        <v>99.999999999999972</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28.18</v>
      </c>
      <c r="AH46" s="64"/>
      <c r="AI46" s="20"/>
    </row>
    <row r="47" spans="1:35" s="22" customFormat="1" ht="71.25" customHeight="1" x14ac:dyDescent="0.25">
      <c r="A47" s="437"/>
      <c r="B47" s="440" t="s">
        <v>125</v>
      </c>
      <c r="C47" s="126" t="s">
        <v>20</v>
      </c>
      <c r="D47" s="74">
        <f>D49+D48</f>
        <v>87170.094999999987</v>
      </c>
      <c r="E47" s="62">
        <f t="shared" ref="E47:G47" si="49">E49+E48</f>
        <v>87170.094999999987</v>
      </c>
      <c r="F47" s="62">
        <f t="shared" si="49"/>
        <v>83653.213999999993</v>
      </c>
      <c r="G47" s="62">
        <f t="shared" si="49"/>
        <v>83653.213999999993</v>
      </c>
      <c r="H47" s="62">
        <f t="shared" si="41"/>
        <v>95.96549596510134</v>
      </c>
      <c r="I47" s="62">
        <f t="shared" si="42"/>
        <v>95.96549596510134</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8053.4000000000005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6395.5429999999997</v>
      </c>
      <c r="AC47" s="63">
        <f t="shared" si="50"/>
        <v>6452.4170000000004</v>
      </c>
      <c r="AD47" s="63">
        <f t="shared" si="50"/>
        <v>6703.7670000000007</v>
      </c>
      <c r="AE47" s="63">
        <f t="shared" si="50"/>
        <v>5846.5370000000003</v>
      </c>
      <c r="AF47" s="63">
        <f t="shared" si="50"/>
        <v>4565.6270000000004</v>
      </c>
      <c r="AG47" s="63">
        <f t="shared" si="50"/>
        <v>12128.278999999999</v>
      </c>
      <c r="AH47" s="313" t="s">
        <v>417</v>
      </c>
      <c r="AI47" s="20"/>
    </row>
    <row r="48" spans="1:35" s="22" customFormat="1" ht="33.75" customHeight="1" x14ac:dyDescent="0.25">
      <c r="A48" s="438"/>
      <c r="B48" s="441"/>
      <c r="C48" s="126" t="s">
        <v>21</v>
      </c>
      <c r="D48" s="74">
        <f>SUM(J48,L48,N48,P48,R48,T48,V48,X48,Z48,AB48,AD48,AF48)</f>
        <v>81952.482999999993</v>
      </c>
      <c r="E48" s="62">
        <f>J48+L48+N48+P48+R48+T48+V48+X48+Z48+AB48+AD48+AF48</f>
        <v>81952.482999999993</v>
      </c>
      <c r="F48" s="62">
        <f>G48</f>
        <v>79028.535999999993</v>
      </c>
      <c r="G48" s="62">
        <f>SUM(K48,M48,O48,Q48,S48,U48,W48,Y48,AA48,AC48,AE48,AG48)</f>
        <v>79028.535999999993</v>
      </c>
      <c r="H48" s="62">
        <f>IFERROR(G48/D48*100,0)</f>
        <v>96.432143489782973</v>
      </c>
      <c r="I48" s="62">
        <f>IFERROR(G48/E48*100,0)</f>
        <v>96.432143489782973</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5315.2139999999999</v>
      </c>
      <c r="AF48" s="63">
        <v>3378.415</v>
      </c>
      <c r="AG48" s="63">
        <v>10813.334999999999</v>
      </c>
      <c r="AH48" s="64"/>
      <c r="AI48" s="20"/>
    </row>
    <row r="49" spans="1:35" s="22" customFormat="1" ht="28.5" customHeight="1" x14ac:dyDescent="0.25">
      <c r="A49" s="439"/>
      <c r="B49" s="442"/>
      <c r="C49" s="126" t="s">
        <v>113</v>
      </c>
      <c r="D49" s="74">
        <f>SUM(J49,L49,N49,P49,R49,T49,V49,X49,Z49,AB49,AD49,AF49)</f>
        <v>5217.6120000000001</v>
      </c>
      <c r="E49" s="62">
        <f>J49+L49+N49+P49+R49+T49+V49+X49+Z49+AB49+AD49+AF49</f>
        <v>5217.6120000000001</v>
      </c>
      <c r="F49" s="62">
        <f>G49</f>
        <v>4624.6779999999999</v>
      </c>
      <c r="G49" s="62">
        <f>SUM(K49,M49,O49,Q49,S49,U49,W49,Y49,AA49,AC49,AE49,AG49)</f>
        <v>4624.6779999999999</v>
      </c>
      <c r="H49" s="62">
        <f>IFERROR(G49/D49*100,0)</f>
        <v>88.635912367573511</v>
      </c>
      <c r="I49" s="62">
        <f>IFERROR(G49/E49*100,0)</f>
        <v>88.635912367573511</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605.79999999999995</v>
      </c>
      <c r="U49" s="67">
        <v>138.91499999999999</v>
      </c>
      <c r="V49" s="63">
        <v>195.24100000000001</v>
      </c>
      <c r="W49" s="63">
        <v>790.26599999999996</v>
      </c>
      <c r="X49" s="63">
        <v>208.279</v>
      </c>
      <c r="Y49" s="63">
        <v>126.123</v>
      </c>
      <c r="Z49" s="63">
        <v>104.8</v>
      </c>
      <c r="AA49" s="63">
        <v>121.486</v>
      </c>
      <c r="AB49" s="63">
        <v>196.64099999999999</v>
      </c>
      <c r="AC49" s="63">
        <v>438.3</v>
      </c>
      <c r="AD49" s="63">
        <v>609.80100000000004</v>
      </c>
      <c r="AE49" s="63">
        <v>531.32299999999998</v>
      </c>
      <c r="AF49" s="63">
        <v>1187.212</v>
      </c>
      <c r="AG49" s="63">
        <v>1314.944</v>
      </c>
      <c r="AH49" s="302" t="s">
        <v>364</v>
      </c>
      <c r="AI49" s="20"/>
    </row>
    <row r="50" spans="1:35" s="22" customFormat="1" ht="30.75" customHeight="1" x14ac:dyDescent="0.25">
      <c r="A50" s="117"/>
      <c r="B50" s="436" t="s">
        <v>126</v>
      </c>
      <c r="C50" s="126" t="s">
        <v>20</v>
      </c>
      <c r="D50" s="74">
        <f t="shared" ref="D50:E50" si="51">D51</f>
        <v>314.7</v>
      </c>
      <c r="E50" s="62">
        <f t="shared" si="51"/>
        <v>314.7</v>
      </c>
      <c r="F50" s="62">
        <f t="shared" ref="F50:F57" si="52">G50</f>
        <v>314.7</v>
      </c>
      <c r="G50" s="62">
        <f>G51</f>
        <v>314.7</v>
      </c>
      <c r="H50" s="62">
        <f t="shared" ref="H50:H58" si="53">IFERROR(G50/D50*100,0)</f>
        <v>100</v>
      </c>
      <c r="I50" s="62">
        <f t="shared" ref="I50:I58" si="54">IFERROR(G50/E50*100,0)</f>
        <v>100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314.7</v>
      </c>
      <c r="AH50" s="313" t="s">
        <v>415</v>
      </c>
      <c r="AI50" s="20"/>
    </row>
    <row r="51" spans="1:35" s="22" customFormat="1" ht="37.5" customHeight="1" x14ac:dyDescent="0.25">
      <c r="A51" s="117"/>
      <c r="B51" s="436"/>
      <c r="C51" s="126" t="s">
        <v>21</v>
      </c>
      <c r="D51" s="74">
        <f t="shared" ref="D51" si="56">SUM(J51,L51,N51,P51,R51,T51,V51,X51,Z51,AB51,AD51,AF51)</f>
        <v>314.7</v>
      </c>
      <c r="E51" s="62">
        <f>J51+L51+N51+P51+R51+T51+V51+X51</f>
        <v>314.7</v>
      </c>
      <c r="F51" s="62">
        <f t="shared" si="52"/>
        <v>314.7</v>
      </c>
      <c r="G51" s="62">
        <f>SUM(K51,M51,O51,Q51,S51,U51,W51,Y51,AA51,AC51,AE51,AG51)</f>
        <v>314.7</v>
      </c>
      <c r="H51" s="62">
        <f t="shared" si="53"/>
        <v>100</v>
      </c>
      <c r="I51" s="62">
        <f t="shared" si="54"/>
        <v>100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314.7</v>
      </c>
      <c r="AH51" s="64"/>
      <c r="AI51" s="20"/>
    </row>
    <row r="52" spans="1:35" s="22" customFormat="1" ht="30.75" customHeight="1" x14ac:dyDescent="0.25">
      <c r="A52" s="117"/>
      <c r="B52" s="436"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3"/>
      <c r="AI52" s="20"/>
    </row>
    <row r="53" spans="1:35" s="22" customFormat="1" ht="37.5" customHeight="1" x14ac:dyDescent="0.25">
      <c r="A53" s="116"/>
      <c r="B53" s="436"/>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36" t="s">
        <v>128</v>
      </c>
      <c r="C54" s="125" t="s">
        <v>20</v>
      </c>
      <c r="D54" s="74">
        <f t="shared" ref="D54:E54" si="61">D55</f>
        <v>500</v>
      </c>
      <c r="E54" s="62">
        <f t="shared" si="61"/>
        <v>500</v>
      </c>
      <c r="F54" s="62">
        <f t="shared" si="52"/>
        <v>500</v>
      </c>
      <c r="G54" s="62">
        <f>G55</f>
        <v>500</v>
      </c>
      <c r="H54" s="62">
        <f t="shared" si="53"/>
        <v>100</v>
      </c>
      <c r="I54" s="62">
        <f t="shared" si="54"/>
        <v>100</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120</v>
      </c>
      <c r="AH54" s="313" t="s">
        <v>416</v>
      </c>
      <c r="AI54" s="20"/>
    </row>
    <row r="55" spans="1:35" s="22" customFormat="1" ht="37.5" customHeight="1" x14ac:dyDescent="0.25">
      <c r="A55" s="116"/>
      <c r="B55" s="436"/>
      <c r="C55" s="126" t="s">
        <v>21</v>
      </c>
      <c r="D55" s="74">
        <f t="shared" ref="D55" si="63">SUM(J55,L55,N55,P55,R55,T55,V55,X55,Z55,AB55,AD55,AF55)</f>
        <v>500</v>
      </c>
      <c r="E55" s="62">
        <f>J55+L55+N55+P55+R55+T55+V55+X55+Z55+AB55</f>
        <v>500</v>
      </c>
      <c r="F55" s="62">
        <f t="shared" si="52"/>
        <v>500</v>
      </c>
      <c r="G55" s="62">
        <f t="shared" ref="G55" si="64">SUM(K55,M55,O55,Q55,S55,U55,W55,Y55,AA55,AC55,AE55,AG55)</f>
        <v>500</v>
      </c>
      <c r="H55" s="62">
        <f t="shared" si="53"/>
        <v>100</v>
      </c>
      <c r="I55" s="62">
        <f t="shared" si="54"/>
        <v>100</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120</v>
      </c>
      <c r="AH55" s="60"/>
      <c r="AI55" s="20"/>
    </row>
    <row r="56" spans="1:35" s="22" customFormat="1" ht="30.75" customHeight="1" x14ac:dyDescent="0.25">
      <c r="A56" s="116"/>
      <c r="B56" s="436"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36"/>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5" t="s">
        <v>365</v>
      </c>
      <c r="AI57" s="20"/>
    </row>
    <row r="58" spans="1:35" s="22" customFormat="1" ht="23.25" customHeight="1" x14ac:dyDescent="0.25">
      <c r="A58" s="437"/>
      <c r="B58" s="440" t="s">
        <v>130</v>
      </c>
      <c r="C58" s="126" t="s">
        <v>20</v>
      </c>
      <c r="D58" s="74">
        <f>D60+D59</f>
        <v>196000.30000000002</v>
      </c>
      <c r="E58" s="62">
        <f t="shared" ref="E58:G58" si="69">E60+E59</f>
        <v>196000.30000000002</v>
      </c>
      <c r="F58" s="62">
        <f t="shared" si="69"/>
        <v>41653.899999999994</v>
      </c>
      <c r="G58" s="62">
        <f t="shared" si="69"/>
        <v>179621.49599999998</v>
      </c>
      <c r="H58" s="62">
        <f t="shared" si="53"/>
        <v>91.643480137530389</v>
      </c>
      <c r="I58" s="62">
        <f t="shared" si="54"/>
        <v>91.643480137530389</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14417.822</v>
      </c>
      <c r="AF58" s="63">
        <f t="shared" si="70"/>
        <v>25149.06</v>
      </c>
      <c r="AG58" s="63">
        <f t="shared" si="70"/>
        <v>25523.755000000001</v>
      </c>
      <c r="AH58" s="64"/>
      <c r="AI58" s="20"/>
    </row>
    <row r="59" spans="1:35" s="22" customFormat="1" ht="63" customHeight="1" x14ac:dyDescent="0.25">
      <c r="A59" s="438"/>
      <c r="B59" s="441"/>
      <c r="C59" s="126" t="s">
        <v>21</v>
      </c>
      <c r="D59" s="74">
        <f>SUM(J59,L59,N59,P59,R59,T59,V59,X59,Z59,AB59,AD59,AF59)</f>
        <v>168656.30300000001</v>
      </c>
      <c r="E59" s="62">
        <f>J59+L59+N59+P59+R59+T59+V59+X59+Z59+AB59+AD59+AF59</f>
        <v>168656.30300000001</v>
      </c>
      <c r="F59" s="62">
        <v>35807.019999999997</v>
      </c>
      <c r="G59" s="62">
        <f>SUM(K59,M59,O59,Q59,S59,U59,W59,Y59,AA59,AC59,AE59,AG59)</f>
        <v>156417.984</v>
      </c>
      <c r="H59" s="62">
        <f>IFERROR(G59/D59*100,0)</f>
        <v>92.743633779284238</v>
      </c>
      <c r="I59" s="62">
        <f>IFERROR(G59/E59*100,0)</f>
        <v>92.743633779284238</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11313.496999999999</v>
      </c>
      <c r="AF59" s="63">
        <v>18684.133000000002</v>
      </c>
      <c r="AG59" s="63">
        <v>19099.29</v>
      </c>
      <c r="AH59" s="253" t="s">
        <v>412</v>
      </c>
      <c r="AI59" s="20"/>
    </row>
    <row r="60" spans="1:35" s="22" customFormat="1" ht="60.75" customHeight="1" x14ac:dyDescent="0.25">
      <c r="A60" s="439"/>
      <c r="B60" s="442"/>
      <c r="C60" s="126" t="s">
        <v>113</v>
      </c>
      <c r="D60" s="74">
        <f>SUM(J60,L60,N60,P60,R60,T60,V60,X60,Z60,AB60,AD60,AF60)</f>
        <v>27343.996999999999</v>
      </c>
      <c r="E60" s="62">
        <f>J60+L60+N60+P60+R60+T60+V60+X60+Z60+AB60+AD60+AF60</f>
        <v>27343.996999999999</v>
      </c>
      <c r="F60" s="62">
        <v>5846.88</v>
      </c>
      <c r="G60" s="62">
        <f>SUM(K60,M60,O60,Q60,S60,U60,W60,Y60,AA60,AC60,AE60,AG60)</f>
        <v>23203.511999999999</v>
      </c>
      <c r="H60" s="62">
        <f>IFERROR(G60/D60*100,0)</f>
        <v>84.857791638874161</v>
      </c>
      <c r="I60" s="62">
        <f>IFERROR(G60/E60*100,0)</f>
        <v>84.857791638874161</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3104.3249999999998</v>
      </c>
      <c r="AF60" s="63">
        <v>6464.9269999999997</v>
      </c>
      <c r="AG60" s="63">
        <v>6424.4650000000001</v>
      </c>
      <c r="AH60" s="380" t="s">
        <v>411</v>
      </c>
      <c r="AI60" s="20"/>
    </row>
    <row r="61" spans="1:35" s="22" customFormat="1" ht="99.75" customHeight="1" x14ac:dyDescent="0.25">
      <c r="A61" s="116"/>
      <c r="B61" s="436" t="s">
        <v>131</v>
      </c>
      <c r="C61" s="125" t="s">
        <v>20</v>
      </c>
      <c r="D61" s="74">
        <f t="shared" ref="D61:E61" si="71">D62</f>
        <v>34774.214</v>
      </c>
      <c r="E61" s="62">
        <f t="shared" si="71"/>
        <v>34774.214</v>
      </c>
      <c r="F61" s="62">
        <f t="shared" ref="F61:F64" si="72">G61</f>
        <v>34641.097000000002</v>
      </c>
      <c r="G61" s="62">
        <f>G62</f>
        <v>34641.097000000002</v>
      </c>
      <c r="H61" s="62">
        <f t="shared" ref="H61:H67" si="73">IFERROR(G61/D61*100,0)</f>
        <v>99.61719623626864</v>
      </c>
      <c r="I61" s="62">
        <f t="shared" ref="I61:I67" si="74">IFERROR(G61/E61*100,0)</f>
        <v>99.61719623626864</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4878.8270000000002</v>
      </c>
      <c r="AB61" s="62">
        <f t="shared" si="75"/>
        <v>35.975999999999999</v>
      </c>
      <c r="AC61" s="62">
        <f>AC62</f>
        <v>1067.289</v>
      </c>
      <c r="AD61" s="62">
        <f t="shared" si="75"/>
        <v>607.70000000000005</v>
      </c>
      <c r="AE61" s="62">
        <f t="shared" si="75"/>
        <v>52.043999999999997</v>
      </c>
      <c r="AF61" s="62">
        <f t="shared" si="75"/>
        <v>19088.021000000001</v>
      </c>
      <c r="AG61" s="62">
        <f t="shared" si="75"/>
        <v>22894.962</v>
      </c>
      <c r="AH61" s="386" t="s">
        <v>420</v>
      </c>
      <c r="AI61" s="20"/>
    </row>
    <row r="62" spans="1:35" s="22" customFormat="1" ht="37.5" customHeight="1" x14ac:dyDescent="0.25">
      <c r="A62" s="116"/>
      <c r="B62" s="436"/>
      <c r="C62" s="126" t="s">
        <v>21</v>
      </c>
      <c r="D62" s="74">
        <f t="shared" ref="D62" si="76">SUM(J62,L62,N62,P62,R62,T62,V62,X62,Z62,AB62,AD62,AF62)</f>
        <v>34774.214</v>
      </c>
      <c r="E62" s="62">
        <f>J62+L62+N62+P62+R62+T62+V62+X62+Z62+AB62+AD62+AF62</f>
        <v>34774.214</v>
      </c>
      <c r="F62" s="62">
        <f t="shared" si="72"/>
        <v>34641.097000000002</v>
      </c>
      <c r="G62" s="62">
        <f>SUM(K62,M62,O62,Q62,S62,U62,W62,Y62,AA62,AC62,AE62,AG62)</f>
        <v>34641.097000000002</v>
      </c>
      <c r="H62" s="62">
        <f t="shared" si="73"/>
        <v>99.61719623626864</v>
      </c>
      <c r="I62" s="62">
        <f t="shared" si="74"/>
        <v>99.61719623626864</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4878.8270000000002</v>
      </c>
      <c r="AB62" s="63">
        <v>35.975999999999999</v>
      </c>
      <c r="AC62" s="63">
        <v>1067.289</v>
      </c>
      <c r="AD62" s="63">
        <v>607.70000000000005</v>
      </c>
      <c r="AE62" s="63">
        <v>52.043999999999997</v>
      </c>
      <c r="AF62" s="63">
        <v>19088.021000000001</v>
      </c>
      <c r="AG62" s="63">
        <v>22894.962</v>
      </c>
      <c r="AH62" s="384"/>
      <c r="AI62" s="20"/>
    </row>
    <row r="63" spans="1:35" s="22" customFormat="1" ht="30.75" customHeight="1" x14ac:dyDescent="0.25">
      <c r="A63" s="116"/>
      <c r="B63" s="436" t="s">
        <v>132</v>
      </c>
      <c r="C63" s="125" t="s">
        <v>20</v>
      </c>
      <c r="D63" s="74">
        <f t="shared" ref="D63:E63" si="77">D64</f>
        <v>50</v>
      </c>
      <c r="E63" s="62">
        <f t="shared" si="77"/>
        <v>50</v>
      </c>
      <c r="F63" s="62">
        <f t="shared" si="72"/>
        <v>50</v>
      </c>
      <c r="G63" s="62">
        <f>G64</f>
        <v>50</v>
      </c>
      <c r="H63" s="62">
        <f t="shared" si="73"/>
        <v>100</v>
      </c>
      <c r="I63" s="62">
        <f t="shared" si="74"/>
        <v>100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4"/>
      <c r="AI63" s="20"/>
    </row>
    <row r="64" spans="1:35" s="22" customFormat="1" ht="37.5" customHeight="1" x14ac:dyDescent="0.25">
      <c r="A64" s="116"/>
      <c r="B64" s="436"/>
      <c r="C64" s="126" t="s">
        <v>21</v>
      </c>
      <c r="D64" s="74">
        <f t="shared" ref="D64" si="79">SUM(J64,L64,N64,P64,R64,T64,V64,X64,Z64,AB64,AD64,AF64)</f>
        <v>50</v>
      </c>
      <c r="E64" s="62">
        <f>J64+L64+N64+P64+R64+T64+V64+X64+Z64+AB64+AD64+AF64</f>
        <v>50</v>
      </c>
      <c r="F64" s="62">
        <f t="shared" si="72"/>
        <v>50</v>
      </c>
      <c r="G64" s="62">
        <f t="shared" ref="G64" si="80">SUM(K64,M64,O64,Q64,S64,U64,W64,Y64,AA64,AC64,AE64,AG64)</f>
        <v>50</v>
      </c>
      <c r="H64" s="62">
        <f t="shared" si="73"/>
        <v>100</v>
      </c>
      <c r="I64" s="62">
        <f t="shared" si="74"/>
        <v>100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5"/>
      <c r="AI64" s="20"/>
    </row>
    <row r="65" spans="1:35" s="22" customFormat="1" ht="108" customHeight="1" x14ac:dyDescent="0.25">
      <c r="A65" s="226"/>
      <c r="B65" s="227" t="s">
        <v>326</v>
      </c>
      <c r="C65" s="230"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3" t="s">
        <v>418</v>
      </c>
      <c r="AI65" s="20"/>
    </row>
    <row r="66" spans="1:35" s="22" customFormat="1" ht="50.25" customHeight="1" x14ac:dyDescent="0.25">
      <c r="A66" s="226"/>
      <c r="B66" s="229"/>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0"/>
      <c r="AI66" s="20"/>
    </row>
    <row r="67" spans="1:35" s="22" customFormat="1" ht="78.75" customHeight="1" x14ac:dyDescent="0.25">
      <c r="A67" s="424"/>
      <c r="B67" s="447"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0"/>
      <c r="AI67" s="20"/>
    </row>
    <row r="68" spans="1:35" s="22" customFormat="1" ht="58.5" hidden="1" customHeight="1" x14ac:dyDescent="0.25">
      <c r="A68" s="424"/>
      <c r="B68" s="447"/>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1"/>
      <c r="AI68" s="20"/>
    </row>
    <row r="69" spans="1:35" s="22" customFormat="1" ht="75.75" customHeight="1" x14ac:dyDescent="0.25">
      <c r="A69" s="425"/>
      <c r="B69" s="447"/>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3"/>
      <c r="AI69" s="20"/>
    </row>
    <row r="70" spans="1:35" s="22" customFormat="1" ht="63.75" customHeight="1" x14ac:dyDescent="0.25">
      <c r="A70" s="116"/>
      <c r="B70" s="436"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2"/>
      <c r="AI70" s="20"/>
    </row>
    <row r="71" spans="1:35" s="22" customFormat="1" ht="57" customHeight="1" x14ac:dyDescent="0.25">
      <c r="A71" s="116"/>
      <c r="B71" s="436"/>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2"/>
      <c r="AI71" s="20"/>
    </row>
    <row r="72" spans="1:35" s="22" customFormat="1" ht="56.25" customHeight="1" x14ac:dyDescent="0.25">
      <c r="A72" s="116"/>
      <c r="B72" s="436"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3"/>
      <c r="AI72" s="20"/>
    </row>
    <row r="73" spans="1:35" s="22" customFormat="1" ht="41.25" customHeight="1" x14ac:dyDescent="0.25">
      <c r="A73" s="116"/>
      <c r="B73" s="436"/>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23"/>
      <c r="B74" s="457" t="s">
        <v>136</v>
      </c>
      <c r="C74" s="125" t="s">
        <v>20</v>
      </c>
      <c r="D74" s="70">
        <f>D76+D75</f>
        <v>32487.280000000002</v>
      </c>
      <c r="E74" s="58">
        <f>E76+E75</f>
        <v>32487.280000000002</v>
      </c>
      <c r="F74" s="58">
        <f>F76+F75</f>
        <v>9775.0400000000009</v>
      </c>
      <c r="G74" s="58">
        <f>G76+G75</f>
        <v>32207.700999999997</v>
      </c>
      <c r="H74" s="58">
        <f t="shared" si="88"/>
        <v>99.139420105345835</v>
      </c>
      <c r="I74" s="58">
        <f t="shared" si="89"/>
        <v>99.139420105345835</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8217.24</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-352</v>
      </c>
      <c r="AB74" s="59">
        <f t="shared" si="97"/>
        <v>2404.1999999999998</v>
      </c>
      <c r="AC74" s="59">
        <f t="shared" si="97"/>
        <v>127.572</v>
      </c>
      <c r="AD74" s="59">
        <f t="shared" si="97"/>
        <v>163.19999999999999</v>
      </c>
      <c r="AE74" s="59">
        <f t="shared" si="97"/>
        <v>7454.94</v>
      </c>
      <c r="AF74" s="59">
        <f t="shared" si="97"/>
        <v>10349.200000000001</v>
      </c>
      <c r="AG74" s="59">
        <f t="shared" si="97"/>
        <v>12073.869999999999</v>
      </c>
      <c r="AH74" s="60"/>
      <c r="AI74" s="20"/>
    </row>
    <row r="75" spans="1:35" s="22" customFormat="1" ht="37.5" hidden="1" customHeight="1" x14ac:dyDescent="0.25">
      <c r="A75" s="424"/>
      <c r="B75" s="458"/>
      <c r="C75" s="126" t="s">
        <v>22</v>
      </c>
      <c r="D75" s="74">
        <f>SUM(J75,L75,N75,P75,R75,T75,V75,X75,Z75,AB75,AD75,AF75)</f>
        <v>1848.2</v>
      </c>
      <c r="E75" s="62">
        <f>J75+L75+N75+P75+R75+T75+V75+X75+Z75+AB75+AD75+AF75</f>
        <v>1848.2</v>
      </c>
      <c r="F75" s="62">
        <f>G75</f>
        <v>1848.1999999999998</v>
      </c>
      <c r="G75" s="62">
        <f>SUM(K75,M75,O75,Q75,S75,U75,W75,Y75,AA75,AC75,AE75,AG75)</f>
        <v>1848.1999999999998</v>
      </c>
      <c r="H75" s="62">
        <f>IFERROR(G75/D75*100,0)</f>
        <v>99.999999999999986</v>
      </c>
      <c r="I75" s="62">
        <f>IFERROR(G75/E75*100,0)</f>
        <v>99.999999999999986</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163.19999999999999</v>
      </c>
      <c r="AE75" s="63">
        <v>0</v>
      </c>
      <c r="AF75" s="63">
        <v>481.7</v>
      </c>
      <c r="AG75" s="63">
        <v>644.9</v>
      </c>
      <c r="AH75" s="63">
        <v>0</v>
      </c>
      <c r="AI75" s="20"/>
    </row>
    <row r="76" spans="1:35" s="22" customFormat="1" ht="75.75" customHeight="1" x14ac:dyDescent="0.25">
      <c r="A76" s="425"/>
      <c r="B76" s="458"/>
      <c r="C76" s="126" t="s">
        <v>21</v>
      </c>
      <c r="D76" s="74">
        <f>SUM(J76,L76,N76,P76,R76,T76,V76,X76,Z76,AB76,AD76,AF76)</f>
        <v>30639.08</v>
      </c>
      <c r="E76" s="62">
        <f>J76+L76+N76+P76+R76+T76+V76+X76+Z76+AB76+AD76+AF76</f>
        <v>30639.08</v>
      </c>
      <c r="F76" s="62">
        <v>7926.84</v>
      </c>
      <c r="G76" s="62">
        <f>SUM(K76,M76,O76,Q76,S76,U76,W76,Y76,AA76,AC76,AE76,AG76)</f>
        <v>30359.500999999997</v>
      </c>
      <c r="H76" s="62">
        <f>IFERROR(G76/D76*100,0)</f>
        <v>99.087508502213495</v>
      </c>
      <c r="I76" s="62">
        <f>IFERROR(G76/E76*100,0)</f>
        <v>99.087508502213495</v>
      </c>
      <c r="J76" s="63">
        <v>3313.4</v>
      </c>
      <c r="K76" s="63">
        <v>1115.028</v>
      </c>
      <c r="L76" s="63">
        <v>3192.625</v>
      </c>
      <c r="M76" s="63">
        <v>2472.8589999999999</v>
      </c>
      <c r="N76" s="63">
        <v>1387.59</v>
      </c>
      <c r="O76" s="63">
        <v>838.51</v>
      </c>
      <c r="P76" s="67">
        <v>7552.74</v>
      </c>
      <c r="Q76" s="63">
        <v>3038.9690000000001</v>
      </c>
      <c r="R76" s="63">
        <v>1398.7</v>
      </c>
      <c r="S76" s="67">
        <v>318</v>
      </c>
      <c r="T76" s="63">
        <v>0</v>
      </c>
      <c r="U76" s="67">
        <v>1684.38</v>
      </c>
      <c r="V76" s="63">
        <v>0</v>
      </c>
      <c r="W76" s="63">
        <v>1311.903</v>
      </c>
      <c r="X76" s="63">
        <v>1494.8</v>
      </c>
      <c r="Y76" s="63">
        <v>920.37</v>
      </c>
      <c r="Z76" s="63">
        <v>27.524999999999999</v>
      </c>
      <c r="AA76" s="63">
        <v>-352</v>
      </c>
      <c r="AB76" s="63">
        <v>2404.1999999999998</v>
      </c>
      <c r="AC76" s="63">
        <v>127.572</v>
      </c>
      <c r="AD76" s="63">
        <v>0</v>
      </c>
      <c r="AE76" s="63">
        <v>7454.94</v>
      </c>
      <c r="AF76" s="63">
        <v>9867.5</v>
      </c>
      <c r="AG76" s="63">
        <v>11428.97</v>
      </c>
      <c r="AH76" s="245" t="s">
        <v>413</v>
      </c>
      <c r="AI76" s="20"/>
    </row>
    <row r="77" spans="1:35" s="22" customFormat="1" ht="23.25" customHeight="1" x14ac:dyDescent="0.25">
      <c r="A77" s="453" t="s">
        <v>51</v>
      </c>
      <c r="B77" s="429"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4"/>
      <c r="AI77" s="20"/>
    </row>
    <row r="78" spans="1:35" s="22" customFormat="1" ht="45" customHeight="1" x14ac:dyDescent="0.25">
      <c r="A78" s="454"/>
      <c r="B78" s="430"/>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24"/>
      <c r="B79" s="430"/>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4"/>
      <c r="AI79" s="20"/>
    </row>
    <row r="80" spans="1:35" s="22" customFormat="1" ht="56.25" customHeight="1" x14ac:dyDescent="0.25">
      <c r="A80" s="424" t="s">
        <v>138</v>
      </c>
      <c r="B80" s="429" t="s">
        <v>139</v>
      </c>
      <c r="C80" s="125" t="s">
        <v>20</v>
      </c>
      <c r="D80" s="74">
        <f t="shared" ref="D80:E80" si="102">D81</f>
        <v>5287.7149999999992</v>
      </c>
      <c r="E80" s="62">
        <f t="shared" si="102"/>
        <v>5287.7149999999992</v>
      </c>
      <c r="F80" s="62">
        <f t="shared" ref="F80:F81" si="103">G80</f>
        <v>5095.4939999999997</v>
      </c>
      <c r="G80" s="62">
        <f>G81</f>
        <v>5095.4939999999997</v>
      </c>
      <c r="H80" s="62">
        <f t="shared" ref="H80:H93" si="104">IFERROR(G80/D80*100,0)</f>
        <v>96.36476247301529</v>
      </c>
      <c r="I80" s="62">
        <f t="shared" ref="I80:I93" si="105">IFERROR(G80/E80*100,0)</f>
        <v>96.36476247301529</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1273.415</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72.8</v>
      </c>
      <c r="AH80" s="242"/>
      <c r="AI80" s="20"/>
    </row>
    <row r="81" spans="1:35" s="22" customFormat="1" ht="41.25" customHeight="1" x14ac:dyDescent="0.25">
      <c r="A81" s="424"/>
      <c r="B81" s="430"/>
      <c r="C81" s="126" t="s">
        <v>21</v>
      </c>
      <c r="D81" s="74">
        <f t="shared" ref="D81" si="107">SUM(J81,L81,N81,P81,R81,T81,V81,X81,Z81,AB81,AD81,AF81)</f>
        <v>5287.7149999999992</v>
      </c>
      <c r="E81" s="62">
        <f>J81+L81+N81+P81+R81+T81+V81+X81+Z81+AB81+AD81+AF81</f>
        <v>5287.7149999999992</v>
      </c>
      <c r="F81" s="62">
        <f t="shared" si="103"/>
        <v>5095.4939999999997</v>
      </c>
      <c r="G81" s="62">
        <f t="shared" ref="G81" si="108">SUM(K81,M81,O81,Q81,S81,U81,W81,Y81,AA81,AC81,AE81,AG81)</f>
        <v>5095.4939999999997</v>
      </c>
      <c r="H81" s="62">
        <f t="shared" si="104"/>
        <v>96.36476247301529</v>
      </c>
      <c r="I81" s="62">
        <f t="shared" si="105"/>
        <v>96.36476247301529</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1273.415</v>
      </c>
      <c r="W81" s="63">
        <v>1336.4</v>
      </c>
      <c r="X81" s="63">
        <v>63.4</v>
      </c>
      <c r="Y81" s="63">
        <v>137.4</v>
      </c>
      <c r="Z81" s="63">
        <v>0</v>
      </c>
      <c r="AA81" s="63">
        <v>48.429000000000002</v>
      </c>
      <c r="AB81" s="63">
        <v>23.7</v>
      </c>
      <c r="AC81" s="63">
        <v>2</v>
      </c>
      <c r="AD81" s="63">
        <v>8.1999999999999993</v>
      </c>
      <c r="AE81" s="63">
        <v>0</v>
      </c>
      <c r="AF81" s="63">
        <v>0</v>
      </c>
      <c r="AG81" s="63">
        <v>72.8</v>
      </c>
      <c r="AH81" s="254" t="s">
        <v>419</v>
      </c>
      <c r="AI81" s="20"/>
    </row>
    <row r="82" spans="1:35" s="21" customFormat="1" ht="23.25" customHeight="1" x14ac:dyDescent="0.25">
      <c r="A82" s="423" t="s">
        <v>140</v>
      </c>
      <c r="B82" s="429" t="s">
        <v>141</v>
      </c>
      <c r="C82" s="125" t="s">
        <v>20</v>
      </c>
      <c r="D82" s="70">
        <f>D84+D85+D83</f>
        <v>447.1</v>
      </c>
      <c r="E82" s="58">
        <f t="shared" ref="E82:G82" si="109">E84+E85+E83</f>
        <v>447.1</v>
      </c>
      <c r="F82" s="58">
        <f t="shared" si="109"/>
        <v>425.38</v>
      </c>
      <c r="G82" s="58">
        <f t="shared" si="109"/>
        <v>425.38</v>
      </c>
      <c r="H82" s="58">
        <f t="shared" si="104"/>
        <v>95.142026392305965</v>
      </c>
      <c r="I82" s="58">
        <f t="shared" si="105"/>
        <v>95.142026392305965</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34.5</v>
      </c>
      <c r="AF82" s="58">
        <f t="shared" si="110"/>
        <v>0</v>
      </c>
      <c r="AG82" s="58">
        <f t="shared" si="110"/>
        <v>32</v>
      </c>
      <c r="AH82" s="243"/>
      <c r="AI82" s="23"/>
    </row>
    <row r="83" spans="1:35" s="21" customFormat="1" ht="17.25" hidden="1" customHeight="1" x14ac:dyDescent="0.25">
      <c r="A83" s="424"/>
      <c r="B83" s="430"/>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24"/>
      <c r="B84" s="430"/>
      <c r="C84" s="126" t="s">
        <v>22</v>
      </c>
      <c r="D84" s="74">
        <f>SUM(J84,L84,N84,P84,R84,T84,V84,X84,Z84,AB84,AD84,AF84)</f>
        <v>74</v>
      </c>
      <c r="E84" s="62">
        <f>J84+L84+N84+P84+R84+T84+V84+X84+Z84+AB84+AD84+AF84</f>
        <v>74</v>
      </c>
      <c r="F84" s="62">
        <f>G84</f>
        <v>74</v>
      </c>
      <c r="G84" s="62">
        <f>SUM(K84,M84,O84,Q84,S84,U84,W84,Y84,AA84,AC84,AE84,AG84)</f>
        <v>74</v>
      </c>
      <c r="H84" s="62">
        <f t="shared" si="104"/>
        <v>100</v>
      </c>
      <c r="I84" s="62">
        <f t="shared" si="105"/>
        <v>100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3"/>
      <c r="AI84" s="23"/>
    </row>
    <row r="85" spans="1:35" s="22" customFormat="1" ht="33" customHeight="1" x14ac:dyDescent="0.25">
      <c r="A85" s="424"/>
      <c r="B85" s="431"/>
      <c r="C85" s="126" t="s">
        <v>21</v>
      </c>
      <c r="D85" s="74">
        <f>SUM(J85,L85,N85,P85,R85,T85,V85,X85,Z85,AB85,AD85,AF85)</f>
        <v>373.1</v>
      </c>
      <c r="E85" s="62">
        <f>J85+L85+N85+P85+R85+T85+V85+X85+Z85+AB85+AD85+AF85</f>
        <v>373.1</v>
      </c>
      <c r="F85" s="62">
        <f>G85</f>
        <v>351.38</v>
      </c>
      <c r="G85" s="62">
        <f>SUM(K85,M85,O85,Q85,S85,U85,W85,Y85,AA85,AC85,AE85,AG85)</f>
        <v>351.38</v>
      </c>
      <c r="H85" s="62">
        <f t="shared" si="104"/>
        <v>94.178504422406846</v>
      </c>
      <c r="I85" s="62">
        <f t="shared" si="105"/>
        <v>94.178504422406846</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34.5</v>
      </c>
      <c r="AF85" s="67">
        <f t="shared" si="113"/>
        <v>0</v>
      </c>
      <c r="AG85" s="67">
        <f t="shared" si="113"/>
        <v>32</v>
      </c>
      <c r="AH85" s="242"/>
      <c r="AI85" s="20"/>
    </row>
    <row r="86" spans="1:35" s="21" customFormat="1" ht="72.75" customHeight="1" x14ac:dyDescent="0.25">
      <c r="A86" s="127"/>
      <c r="B86" s="451" t="s">
        <v>142</v>
      </c>
      <c r="C86" s="125" t="s">
        <v>20</v>
      </c>
      <c r="D86" s="70">
        <f>D88+D89+D87</f>
        <v>373.1</v>
      </c>
      <c r="E86" s="58">
        <f t="shared" ref="E86:G86" si="114">E88+E89+E87</f>
        <v>373.1</v>
      </c>
      <c r="F86" s="58">
        <f t="shared" si="114"/>
        <v>116.95</v>
      </c>
      <c r="G86" s="58">
        <f t="shared" si="114"/>
        <v>351.38</v>
      </c>
      <c r="H86" s="58">
        <f t="shared" si="104"/>
        <v>94.178504422406846</v>
      </c>
      <c r="I86" s="58">
        <f t="shared" si="105"/>
        <v>94.178504422406846</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34.5</v>
      </c>
      <c r="AF86" s="58">
        <f t="shared" si="115"/>
        <v>0</v>
      </c>
      <c r="AG86" s="58">
        <f t="shared" si="115"/>
        <v>32</v>
      </c>
      <c r="AH86" s="242"/>
      <c r="AI86" s="23"/>
    </row>
    <row r="87" spans="1:35" s="21" customFormat="1" ht="45.75" hidden="1" customHeight="1" x14ac:dyDescent="0.25">
      <c r="A87" s="127"/>
      <c r="B87" s="452"/>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3"/>
      <c r="AI87" s="23"/>
    </row>
    <row r="88" spans="1:35" s="21" customFormat="1" ht="50.25" hidden="1" customHeight="1" x14ac:dyDescent="0.25">
      <c r="A88" s="127"/>
      <c r="B88" s="452"/>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501"/>
      <c r="C89" s="126" t="s">
        <v>21</v>
      </c>
      <c r="D89" s="74">
        <f>SUM(J89,L89,N89,P89,R89,T89,V89,X89,Z89,AB89,AD89,AF89)</f>
        <v>373.1</v>
      </c>
      <c r="E89" s="62">
        <f>J89+L89+N89+P89+R89+T89+V89+X89+Z89+AB89</f>
        <v>373.1</v>
      </c>
      <c r="F89" s="62">
        <v>116.95</v>
      </c>
      <c r="G89" s="62">
        <f>SUM(K89,M89,O89,Q89,S89,U89,W89,Y89,AA89,AC89,AE89,AG89)</f>
        <v>351.38</v>
      </c>
      <c r="H89" s="62">
        <f t="shared" si="104"/>
        <v>94.178504422406846</v>
      </c>
      <c r="I89" s="62">
        <f t="shared" si="105"/>
        <v>94.178504422406846</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34.5</v>
      </c>
      <c r="AF89" s="67">
        <v>0</v>
      </c>
      <c r="AG89" s="67">
        <v>32</v>
      </c>
      <c r="AH89" s="245" t="s">
        <v>447</v>
      </c>
      <c r="AI89" s="20"/>
    </row>
    <row r="90" spans="1:35" s="21" customFormat="1" ht="69.75" customHeight="1" x14ac:dyDescent="0.25">
      <c r="A90" s="127"/>
      <c r="B90" s="451"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3"/>
      <c r="AI90" s="23"/>
    </row>
    <row r="91" spans="1:35" s="21" customFormat="1" ht="27" hidden="1" customHeight="1" x14ac:dyDescent="0.25">
      <c r="A91" s="127"/>
      <c r="B91" s="452"/>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52"/>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5"/>
      <c r="AI92" s="23"/>
    </row>
    <row r="93" spans="1:35" s="22" customFormat="1" ht="37.5" hidden="1" customHeight="1" x14ac:dyDescent="0.25">
      <c r="A93" s="128"/>
      <c r="B93" s="501"/>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02" t="s">
        <v>32</v>
      </c>
      <c r="C94" s="503"/>
      <c r="D94" s="503"/>
      <c r="E94" s="503"/>
      <c r="F94" s="503"/>
      <c r="G94" s="503"/>
      <c r="H94" s="503"/>
      <c r="I94" s="503"/>
      <c r="J94" s="503"/>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4"/>
      <c r="AH94" s="43"/>
      <c r="AI94" s="27"/>
    </row>
    <row r="95" spans="1:35" s="30" customFormat="1" ht="27" customHeight="1" x14ac:dyDescent="0.25">
      <c r="A95" s="412" t="s">
        <v>144</v>
      </c>
      <c r="B95" s="465"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13"/>
      <c r="B96" s="467"/>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12"/>
      <c r="B97" s="451"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13"/>
      <c r="B98" s="452"/>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12"/>
      <c r="B99" s="414"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13"/>
      <c r="B100" s="414"/>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3"/>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4"/>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5"/>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6"/>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7"/>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8"/>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9"/>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1"/>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3"/>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6"/>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18"/>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20"/>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22"/>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24"/>
    </customSheetView>
    <customSheetView guid="{2940A182-D1A7-43C5-8D6E-965BED4371B0}" scale="80" hiddenRows="1" hiddenColumns="1">
      <pane xSplit="5" ySplit="7" topLeftCell="G72" activePane="bottomRight" state="frozen"/>
      <selection pane="bottomRight" activeCell="G77" sqref="G77"/>
      <pageMargins left="0.7" right="0.7" top="0.75" bottom="0.75" header="0.3" footer="0.3"/>
      <pageSetup paperSize="9" orientation="portrait" r:id="rId25"/>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26"/>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27"/>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28"/>
    </customSheetView>
  </customSheetViews>
  <mergeCells count="7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A18:A21"/>
    <mergeCell ref="B18:B21"/>
    <mergeCell ref="A22:A25"/>
    <mergeCell ref="B22:B25"/>
    <mergeCell ref="A26:A29"/>
    <mergeCell ref="B26:B29"/>
    <mergeCell ref="A30:A33"/>
    <mergeCell ref="B30:B33"/>
    <mergeCell ref="A34:A36"/>
    <mergeCell ref="B34:B36"/>
    <mergeCell ref="A37:A39"/>
    <mergeCell ref="B37:B39"/>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67:A69"/>
    <mergeCell ref="B67:B69"/>
    <mergeCell ref="B70:B71"/>
    <mergeCell ref="A74:A76"/>
    <mergeCell ref="B74:B76"/>
    <mergeCell ref="B72:B73"/>
    <mergeCell ref="A77:A79"/>
    <mergeCell ref="B77:B79"/>
    <mergeCell ref="A80:A81"/>
    <mergeCell ref="B80:B81"/>
    <mergeCell ref="A97:A98"/>
    <mergeCell ref="B97:B98"/>
    <mergeCell ref="A99:A100"/>
    <mergeCell ref="B99:B100"/>
    <mergeCell ref="A82:A85"/>
    <mergeCell ref="B82:B85"/>
    <mergeCell ref="B86:B89"/>
    <mergeCell ref="B90:B93"/>
    <mergeCell ref="B94:AG94"/>
    <mergeCell ref="A95:A96"/>
    <mergeCell ref="B95:B96"/>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0" customHeight="1" x14ac:dyDescent="0.25">
      <c r="A3" s="55"/>
      <c r="B3" s="55"/>
      <c r="C3" s="473" t="s">
        <v>272</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80" t="s">
        <v>30</v>
      </c>
      <c r="D4" s="483"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81"/>
      <c r="D5" s="484"/>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82"/>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05"/>
      <c r="B8" s="465"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06"/>
      <c r="B9" s="466"/>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06"/>
      <c r="B10" s="466"/>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06"/>
      <c r="B11" s="466"/>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07"/>
      <c r="B12" s="467"/>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02" t="s">
        <v>273</v>
      </c>
      <c r="C13" s="503"/>
      <c r="D13" s="503"/>
      <c r="E13" s="503"/>
      <c r="F13" s="503"/>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4"/>
      <c r="AH13" s="46"/>
    </row>
    <row r="14" spans="1:35" s="21" customFormat="1" ht="23.25" customHeight="1" x14ac:dyDescent="0.25">
      <c r="A14" s="423" t="s">
        <v>169</v>
      </c>
      <c r="B14" s="418"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24"/>
      <c r="B15" s="508"/>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24"/>
      <c r="B16" s="508"/>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24"/>
      <c r="B17" s="508"/>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25"/>
      <c r="B18" s="419"/>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23" t="s">
        <v>276</v>
      </c>
      <c r="B19" s="420"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24"/>
      <c r="B20" s="421"/>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24"/>
      <c r="B21" s="421"/>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24"/>
      <c r="B22" s="421"/>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25"/>
      <c r="B23" s="509"/>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23"/>
      <c r="B24" s="511"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24"/>
      <c r="B25" s="512"/>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24"/>
      <c r="B26" s="512"/>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24"/>
      <c r="B27" s="512"/>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6">
        <v>113.09</v>
      </c>
      <c r="N27" s="67">
        <v>276.24599999999998</v>
      </c>
      <c r="O27" s="216">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10"/>
      <c r="B28" s="513"/>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48"/>
      <c r="B29" s="511"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49"/>
      <c r="B30" s="512"/>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49"/>
      <c r="B31" s="512"/>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49"/>
      <c r="B32" s="512"/>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7">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50"/>
      <c r="B33" s="514"/>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48"/>
      <c r="B34" s="511"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49"/>
      <c r="B35" s="512"/>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49"/>
      <c r="B36" s="512"/>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49"/>
      <c r="B37" s="512"/>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6">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50"/>
      <c r="B38" s="514"/>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48"/>
      <c r="B39" s="511"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49"/>
      <c r="B40" s="512"/>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49"/>
      <c r="B41" s="512"/>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49"/>
      <c r="B42" s="512"/>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50"/>
      <c r="B43" s="514"/>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48"/>
      <c r="B44" s="511"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49"/>
      <c r="B45" s="512"/>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49"/>
      <c r="B46" s="512"/>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49"/>
      <c r="B47" s="512"/>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6">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377</v>
      </c>
      <c r="AI47" s="23"/>
    </row>
    <row r="48" spans="1:35" s="22" customFormat="1" ht="51.75" hidden="1" customHeight="1" x14ac:dyDescent="0.25">
      <c r="A48" s="450"/>
      <c r="B48" s="514"/>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48"/>
      <c r="B49" s="511"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49"/>
      <c r="B50" s="512"/>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49"/>
      <c r="B51" s="512"/>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49"/>
      <c r="B52" s="512"/>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50"/>
      <c r="B53" s="514"/>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15" t="s">
        <v>278</v>
      </c>
      <c r="B54" s="420"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24"/>
      <c r="B55" s="421"/>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24"/>
      <c r="B56" s="421"/>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24"/>
      <c r="B57" s="421"/>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16"/>
      <c r="B58" s="513"/>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02" t="s">
        <v>280</v>
      </c>
      <c r="C59" s="503"/>
      <c r="D59" s="503"/>
      <c r="E59" s="503"/>
      <c r="F59" s="503"/>
      <c r="G59" s="503"/>
      <c r="H59" s="503"/>
      <c r="I59" s="503"/>
      <c r="J59" s="503"/>
      <c r="K59" s="503"/>
      <c r="L59" s="503"/>
      <c r="M59" s="503"/>
      <c r="N59" s="503"/>
      <c r="O59" s="503"/>
      <c r="P59" s="503"/>
      <c r="Q59" s="503"/>
      <c r="R59" s="503"/>
      <c r="S59" s="503"/>
      <c r="T59" s="503"/>
      <c r="U59" s="503"/>
      <c r="V59" s="503"/>
      <c r="W59" s="503"/>
      <c r="X59" s="503"/>
      <c r="Y59" s="503"/>
      <c r="Z59" s="503"/>
      <c r="AA59" s="503"/>
      <c r="AB59" s="503"/>
      <c r="AC59" s="503"/>
      <c r="AD59" s="503"/>
      <c r="AE59" s="503"/>
      <c r="AF59" s="503"/>
      <c r="AG59" s="504"/>
      <c r="AH59" s="46"/>
    </row>
    <row r="60" spans="1:35" s="21" customFormat="1" ht="21" customHeight="1" x14ac:dyDescent="0.25">
      <c r="A60" s="423" t="s">
        <v>154</v>
      </c>
      <c r="B60" s="418"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24"/>
      <c r="B61" s="508"/>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24"/>
      <c r="B62" s="508"/>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24"/>
      <c r="B63" s="508"/>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25"/>
      <c r="B64" s="419"/>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53" t="s">
        <v>282</v>
      </c>
      <c r="B65" s="420"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54"/>
      <c r="B66" s="421"/>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54"/>
      <c r="B67" s="421"/>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54"/>
      <c r="B68" s="421"/>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6">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24"/>
      <c r="B69" s="421"/>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23" t="s">
        <v>283</v>
      </c>
      <c r="B70" s="420"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24"/>
      <c r="B71" s="421"/>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24"/>
      <c r="B72" s="421"/>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6">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24"/>
      <c r="B73" s="421"/>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6">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25"/>
      <c r="B74" s="509"/>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02" t="s">
        <v>285</v>
      </c>
      <c r="C75" s="503"/>
      <c r="D75" s="503"/>
      <c r="E75" s="503"/>
      <c r="F75" s="503"/>
      <c r="G75" s="503"/>
      <c r="H75" s="503"/>
      <c r="I75" s="503"/>
      <c r="J75" s="503"/>
      <c r="K75" s="503"/>
      <c r="L75" s="503"/>
      <c r="M75" s="503"/>
      <c r="N75" s="503"/>
      <c r="O75" s="503"/>
      <c r="P75" s="503"/>
      <c r="Q75" s="503"/>
      <c r="R75" s="503"/>
      <c r="S75" s="503"/>
      <c r="T75" s="503"/>
      <c r="U75" s="503"/>
      <c r="V75" s="503"/>
      <c r="W75" s="503"/>
      <c r="X75" s="503"/>
      <c r="Y75" s="503"/>
      <c r="Z75" s="503"/>
      <c r="AA75" s="503"/>
      <c r="AB75" s="503"/>
      <c r="AC75" s="503"/>
      <c r="AD75" s="503"/>
      <c r="AE75" s="503"/>
      <c r="AF75" s="503"/>
      <c r="AG75" s="504"/>
      <c r="AH75" s="46"/>
    </row>
    <row r="76" spans="1:35" s="22" customFormat="1" ht="63" customHeight="1" x14ac:dyDescent="0.25">
      <c r="A76" s="453" t="s">
        <v>157</v>
      </c>
      <c r="B76" s="465"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54"/>
      <c r="B77" s="466"/>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54"/>
      <c r="B78" s="466"/>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54"/>
      <c r="B79" s="466"/>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24"/>
      <c r="B80" s="466"/>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02" t="s">
        <v>288</v>
      </c>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03"/>
      <c r="AB81" s="503"/>
      <c r="AC81" s="503"/>
      <c r="AD81" s="503"/>
      <c r="AE81" s="503"/>
      <c r="AF81" s="503"/>
      <c r="AG81" s="504"/>
      <c r="AH81" s="46"/>
    </row>
    <row r="82" spans="1:35" s="22" customFormat="1" ht="51.75" customHeight="1" x14ac:dyDescent="0.25">
      <c r="A82" s="453" t="s">
        <v>289</v>
      </c>
      <c r="B82" s="465"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54"/>
      <c r="B83" s="466"/>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54"/>
      <c r="B84" s="466"/>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25"/>
      <c r="B85" s="467"/>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1"/>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3"/>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4"/>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5"/>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6"/>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7"/>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8"/>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9"/>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0"/>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1"/>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2"/>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3"/>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4"/>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5"/>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6"/>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7"/>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18"/>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20"/>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22"/>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23"/>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24"/>
    </customSheetView>
    <customSheetView guid="{2940A182-D1A7-43C5-8D6E-965BED4371B0}" scale="70" hiddenRows="1">
      <pane xSplit="6" ySplit="7" topLeftCell="G8" activePane="bottomRight" state="frozen"/>
      <selection pane="bottomRight" activeCell="I70" sqref="I70"/>
      <pageMargins left="0.7" right="0.7" top="0.75" bottom="0.75" header="0.3" footer="0.3"/>
      <pageSetup paperSize="9" orientation="portrait" r:id="rId25"/>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26"/>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27"/>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28"/>
    </customSheetView>
  </customSheetViews>
  <mergeCells count="57">
    <mergeCell ref="B81:AG81"/>
    <mergeCell ref="A82:A85"/>
    <mergeCell ref="B82:B85"/>
    <mergeCell ref="A65:A69"/>
    <mergeCell ref="B65:B69"/>
    <mergeCell ref="A70:A74"/>
    <mergeCell ref="B70:B74"/>
    <mergeCell ref="B75:AG75"/>
    <mergeCell ref="A76:A80"/>
    <mergeCell ref="B76:B80"/>
    <mergeCell ref="A60:A64"/>
    <mergeCell ref="B60:B64"/>
    <mergeCell ref="A34:A38"/>
    <mergeCell ref="B34:B38"/>
    <mergeCell ref="A39:A43"/>
    <mergeCell ref="B39:B43"/>
    <mergeCell ref="A44:A48"/>
    <mergeCell ref="B44:B48"/>
    <mergeCell ref="A49:A53"/>
    <mergeCell ref="B49:B53"/>
    <mergeCell ref="A54:A58"/>
    <mergeCell ref="B54:B58"/>
    <mergeCell ref="B59:AG59"/>
    <mergeCell ref="A19:A23"/>
    <mergeCell ref="B19:B23"/>
    <mergeCell ref="A24:A28"/>
    <mergeCell ref="B24:B28"/>
    <mergeCell ref="A29:A33"/>
    <mergeCell ref="B29:B33"/>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50"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6" s="10" customFormat="1" ht="27" customHeight="1" x14ac:dyDescent="0.25">
      <c r="A3" s="55"/>
      <c r="B3" s="55"/>
      <c r="C3" s="473" t="s">
        <v>203</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6" s="10" customFormat="1" ht="15" customHeight="1" x14ac:dyDescent="0.25">
      <c r="A4" s="474" t="s">
        <v>26</v>
      </c>
      <c r="B4" s="477" t="s">
        <v>29</v>
      </c>
      <c r="C4" s="480" t="s">
        <v>30</v>
      </c>
      <c r="D4" s="483"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6" s="10" customFormat="1" ht="39" customHeight="1" x14ac:dyDescent="0.25">
      <c r="A5" s="475"/>
      <c r="B5" s="478"/>
      <c r="C5" s="481"/>
      <c r="D5" s="484"/>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6" s="10" customFormat="1" ht="64.5" customHeight="1" x14ac:dyDescent="0.25">
      <c r="A6" s="476"/>
      <c r="B6" s="479"/>
      <c r="C6" s="482"/>
      <c r="D6" s="121">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62"/>
      <c r="B8" s="465"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4">
        <f>E8-G8</f>
        <v>1186.4074000000001</v>
      </c>
    </row>
    <row r="9" spans="1:36" s="26" customFormat="1" ht="26.25" hidden="1" customHeight="1" x14ac:dyDescent="0.25">
      <c r="A9" s="463"/>
      <c r="B9" s="466"/>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4">
        <f t="shared" ref="AJ9:AJ35" si="3">E9-G9</f>
        <v>0</v>
      </c>
    </row>
    <row r="10" spans="1:36" s="26" customFormat="1" ht="40.5" customHeight="1" x14ac:dyDescent="0.25">
      <c r="A10" s="463"/>
      <c r="B10" s="466"/>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4">
        <f t="shared" si="3"/>
        <v>391.52188999999998</v>
      </c>
    </row>
    <row r="11" spans="1:36" s="26" customFormat="1" ht="40.5" customHeight="1" x14ac:dyDescent="0.25">
      <c r="A11" s="463"/>
      <c r="B11" s="466"/>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4">
        <f t="shared" si="3"/>
        <v>794.88551000000007</v>
      </c>
    </row>
    <row r="12" spans="1:36" s="22" customFormat="1" ht="18.75" customHeight="1" x14ac:dyDescent="0.25">
      <c r="A12" s="66"/>
      <c r="B12" s="415" t="s">
        <v>204</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64"/>
    </row>
    <row r="13" spans="1:36" s="21" customFormat="1" ht="23.25" customHeight="1" x14ac:dyDescent="0.25">
      <c r="A13" s="423" t="s">
        <v>37</v>
      </c>
      <c r="B13" s="418"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4">
        <f t="shared" si="3"/>
        <v>1055.9750299999996</v>
      </c>
    </row>
    <row r="14" spans="1:36" s="21" customFormat="1" ht="17.25" hidden="1" customHeight="1" x14ac:dyDescent="0.25">
      <c r="A14" s="424"/>
      <c r="B14" s="508"/>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4">
        <f t="shared" si="3"/>
        <v>0</v>
      </c>
    </row>
    <row r="15" spans="1:36" s="21" customFormat="1" ht="37.5" customHeight="1" x14ac:dyDescent="0.25">
      <c r="A15" s="424"/>
      <c r="B15" s="508"/>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4">
        <f t="shared" si="3"/>
        <v>261.08951999999999</v>
      </c>
    </row>
    <row r="16" spans="1:36" s="22" customFormat="1" ht="29.25" customHeight="1" x14ac:dyDescent="0.25">
      <c r="A16" s="425"/>
      <c r="B16" s="419"/>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4">
        <f t="shared" si="3"/>
        <v>794.88551000000007</v>
      </c>
    </row>
    <row r="17" spans="1:36" s="21" customFormat="1" ht="21" customHeight="1" x14ac:dyDescent="0.25">
      <c r="A17" s="423"/>
      <c r="B17" s="420"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3">
        <f t="shared" si="3"/>
        <v>486.48799999999983</v>
      </c>
    </row>
    <row r="18" spans="1:36" s="21" customFormat="1" ht="23.25" hidden="1" customHeight="1" x14ac:dyDescent="0.25">
      <c r="A18" s="424"/>
      <c r="B18" s="421"/>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3">
        <f t="shared" si="3"/>
        <v>0</v>
      </c>
    </row>
    <row r="19" spans="1:36" s="21" customFormat="1" ht="390.75" customHeight="1" x14ac:dyDescent="0.25">
      <c r="A19" s="424"/>
      <c r="B19" s="421"/>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5" t="s">
        <v>355</v>
      </c>
      <c r="AI19" s="23"/>
      <c r="AJ19" s="213">
        <f t="shared" si="3"/>
        <v>120.83100000000005</v>
      </c>
    </row>
    <row r="20" spans="1:36" s="22" customFormat="1" ht="33" customHeight="1" x14ac:dyDescent="0.25">
      <c r="A20" s="425"/>
      <c r="B20" s="509"/>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3">
        <f t="shared" si="3"/>
        <v>365.65699999999993</v>
      </c>
    </row>
    <row r="21" spans="1:36" s="21" customFormat="1" ht="18" customHeight="1" x14ac:dyDescent="0.25">
      <c r="A21" s="423"/>
      <c r="B21" s="420"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3">
        <f t="shared" si="3"/>
        <v>359.4155099999989</v>
      </c>
    </row>
    <row r="22" spans="1:36" s="21" customFormat="1" ht="51.75" hidden="1" customHeight="1" x14ac:dyDescent="0.25">
      <c r="A22" s="424"/>
      <c r="B22" s="421"/>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3">
        <f t="shared" si="3"/>
        <v>0</v>
      </c>
    </row>
    <row r="23" spans="1:36" s="21" customFormat="1" ht="168.75" customHeight="1" x14ac:dyDescent="0.25">
      <c r="A23" s="424"/>
      <c r="B23" s="421"/>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8" t="s">
        <v>356</v>
      </c>
      <c r="AI23" s="23"/>
      <c r="AJ23" s="213">
        <f t="shared" si="3"/>
        <v>93.157889999999952</v>
      </c>
    </row>
    <row r="24" spans="1:36" s="22" customFormat="1" ht="28.5" customHeight="1" x14ac:dyDescent="0.25">
      <c r="A24" s="425"/>
      <c r="B24" s="509"/>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3">
        <f t="shared" si="3"/>
        <v>266.25762000000032</v>
      </c>
    </row>
    <row r="25" spans="1:36" s="21" customFormat="1" ht="24.75" customHeight="1" x14ac:dyDescent="0.25">
      <c r="A25" s="423"/>
      <c r="B25" s="420"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3">
        <f t="shared" si="3"/>
        <v>12.06546999999955</v>
      </c>
    </row>
    <row r="26" spans="1:36" s="21" customFormat="1" ht="42.75" hidden="1" customHeight="1" x14ac:dyDescent="0.25">
      <c r="A26" s="424"/>
      <c r="B26" s="421"/>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3">
        <f t="shared" si="3"/>
        <v>0</v>
      </c>
    </row>
    <row r="27" spans="1:36" s="21" customFormat="1" ht="105.75" customHeight="1" x14ac:dyDescent="0.25">
      <c r="A27" s="424"/>
      <c r="B27" s="421"/>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8" t="s">
        <v>357</v>
      </c>
      <c r="AI27" s="23"/>
      <c r="AJ27" s="213">
        <f t="shared" si="3"/>
        <v>6.3000000000101863E-4</v>
      </c>
    </row>
    <row r="28" spans="1:36" s="22" customFormat="1" ht="38.25" customHeight="1" x14ac:dyDescent="0.25">
      <c r="A28" s="425"/>
      <c r="B28" s="509"/>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3">
        <f t="shared" si="3"/>
        <v>12.064839999999776</v>
      </c>
    </row>
    <row r="29" spans="1:36" s="21" customFormat="1" ht="24.75" customHeight="1" x14ac:dyDescent="0.25">
      <c r="A29" s="423"/>
      <c r="B29" s="420"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3">
        <f t="shared" si="3"/>
        <v>150.90604999999982</v>
      </c>
    </row>
    <row r="30" spans="1:36" s="21" customFormat="1" ht="42.75" hidden="1" customHeight="1" x14ac:dyDescent="0.25">
      <c r="A30" s="424"/>
      <c r="B30" s="421"/>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3">
        <f t="shared" si="3"/>
        <v>0</v>
      </c>
    </row>
    <row r="31" spans="1:36" s="21" customFormat="1" ht="48" hidden="1" customHeight="1" x14ac:dyDescent="0.25">
      <c r="A31" s="424"/>
      <c r="B31" s="421"/>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3">
        <f t="shared" si="3"/>
        <v>0</v>
      </c>
    </row>
    <row r="32" spans="1:36" s="22" customFormat="1" ht="90" customHeight="1" x14ac:dyDescent="0.25">
      <c r="A32" s="425"/>
      <c r="B32" s="509"/>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5" t="s">
        <v>358</v>
      </c>
      <c r="AI32" s="20"/>
      <c r="AJ32" s="213">
        <f t="shared" si="3"/>
        <v>150.90604999999982</v>
      </c>
    </row>
    <row r="33" spans="1:36" s="21" customFormat="1" ht="39.75" customHeight="1" x14ac:dyDescent="0.25">
      <c r="A33" s="448"/>
      <c r="B33" s="420"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3">
        <f t="shared" si="3"/>
        <v>47.1</v>
      </c>
    </row>
    <row r="34" spans="1:36" s="21" customFormat="1" ht="3.75" hidden="1" customHeight="1" x14ac:dyDescent="0.25">
      <c r="A34" s="449"/>
      <c r="B34" s="421"/>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3">
        <f t="shared" si="3"/>
        <v>0</v>
      </c>
    </row>
    <row r="35" spans="1:36" s="21" customFormat="1" ht="97.5" customHeight="1" x14ac:dyDescent="0.25">
      <c r="A35" s="449"/>
      <c r="B35" s="421"/>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5"/>
      <c r="AI35" s="23"/>
      <c r="AJ35" s="213">
        <f t="shared" si="3"/>
        <v>47.1</v>
      </c>
    </row>
    <row r="36" spans="1:36" s="22" customFormat="1" ht="64.5" hidden="1" customHeight="1" x14ac:dyDescent="0.25">
      <c r="A36" s="450"/>
      <c r="B36" s="509"/>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15" t="s">
        <v>211</v>
      </c>
      <c r="C37" s="416"/>
      <c r="D37" s="416"/>
      <c r="E37" s="416"/>
      <c r="F37" s="416"/>
      <c r="G37" s="416"/>
      <c r="H37" s="416"/>
      <c r="I37" s="416"/>
      <c r="J37" s="416"/>
      <c r="K37" s="416"/>
      <c r="L37" s="416"/>
      <c r="M37" s="416"/>
      <c r="N37" s="416"/>
      <c r="O37" s="416"/>
      <c r="P37" s="416"/>
      <c r="Q37" s="416"/>
      <c r="R37" s="416"/>
      <c r="S37" s="416"/>
      <c r="T37" s="416"/>
      <c r="U37" s="416"/>
      <c r="V37" s="416"/>
      <c r="W37" s="416"/>
      <c r="X37" s="416"/>
      <c r="Y37" s="416"/>
      <c r="Z37" s="416"/>
      <c r="AA37" s="416"/>
      <c r="AB37" s="416"/>
      <c r="AC37" s="416"/>
      <c r="AD37" s="416"/>
      <c r="AE37" s="416"/>
      <c r="AF37" s="416"/>
      <c r="AG37" s="417"/>
      <c r="AH37" s="46"/>
      <c r="AI37" s="20"/>
    </row>
    <row r="38" spans="1:36" s="21" customFormat="1" ht="23.25" customHeight="1" x14ac:dyDescent="0.25">
      <c r="A38" s="423" t="s">
        <v>38</v>
      </c>
      <c r="B38" s="418"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24"/>
      <c r="B39" s="508"/>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24"/>
      <c r="B40" s="508"/>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24"/>
      <c r="B41" s="419"/>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20"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21"/>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3">
        <f t="shared" si="26"/>
        <v>0</v>
      </c>
    </row>
    <row r="44" spans="1:36" s="21" customFormat="1" ht="325.5" customHeight="1" x14ac:dyDescent="0.25">
      <c r="A44" s="127"/>
      <c r="B44" s="421"/>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5" t="s">
        <v>359</v>
      </c>
      <c r="AI44" s="23"/>
      <c r="AJ44" s="213">
        <f t="shared" si="26"/>
        <v>130.43236999999999</v>
      </c>
    </row>
    <row r="45" spans="1:36" s="22" customFormat="1" ht="36.75" customHeight="1" x14ac:dyDescent="0.25">
      <c r="A45" s="127"/>
      <c r="B45" s="509"/>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20"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4"/>
      <c r="AI46" s="23"/>
      <c r="AJ46" s="213">
        <f t="shared" si="26"/>
        <v>0</v>
      </c>
    </row>
    <row r="47" spans="1:36" s="21" customFormat="1" ht="27" hidden="1" customHeight="1" x14ac:dyDescent="0.25">
      <c r="A47" s="127"/>
      <c r="B47" s="421"/>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3">
        <f t="shared" si="26"/>
        <v>0</v>
      </c>
    </row>
    <row r="48" spans="1:36" s="21" customFormat="1" ht="120.75" hidden="1" customHeight="1" x14ac:dyDescent="0.25">
      <c r="A48" s="127"/>
      <c r="B48" s="421"/>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3">
        <f t="shared" si="26"/>
        <v>0</v>
      </c>
    </row>
    <row r="49" spans="1:36" s="22" customFormat="1" ht="30" customHeight="1" x14ac:dyDescent="0.25">
      <c r="A49" s="128"/>
      <c r="B49" s="509"/>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3">
        <f t="shared" si="26"/>
        <v>0</v>
      </c>
    </row>
  </sheetData>
  <customSheetViews>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1"/>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3"/>
    </customSheetView>
    <customSheetView guid="{A0E2FBF6-E560-4343-8BE6-217DC798135B}" scale="80" hiddenRows="1">
      <pane xSplit="6" ySplit="7" topLeftCell="G8" activePane="bottomRight" state="frozen"/>
      <selection pane="bottomRight" activeCell="K19" sqref="K19"/>
      <pageMargins left="0.7" right="0.7" top="0.75" bottom="0.75" header="0.3" footer="0.3"/>
      <pageSetup paperSize="9" orientation="portrait" r:id="rId4"/>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5"/>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7"/>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8"/>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9"/>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1"/>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5"/>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6"/>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1"/>
    </customSheetView>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22"/>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23"/>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24"/>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26"/>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27"/>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B42:B45"/>
    <mergeCell ref="B46:B49"/>
    <mergeCell ref="A29:A32"/>
    <mergeCell ref="B29:B32"/>
    <mergeCell ref="A33:A36"/>
    <mergeCell ref="B33:B36"/>
    <mergeCell ref="B37:AG37"/>
    <mergeCell ref="A38:A41"/>
    <mergeCell ref="B38:B41"/>
    <mergeCell ref="A17:A20"/>
    <mergeCell ref="B17:B20"/>
    <mergeCell ref="A21:A24"/>
    <mergeCell ref="B21:B24"/>
    <mergeCell ref="A25:A28"/>
    <mergeCell ref="B25:B28"/>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activeCell="K100" sqref="K100"/>
      <selection pane="topRight" activeCell="K100" sqref="K100"/>
      <selection pane="bottomLeft" activeCell="K100" sqref="K100"/>
      <selection pane="bottomRight" activeCell="K100" sqref="K100"/>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33" customFormat="1" ht="36.75" customHeight="1" x14ac:dyDescent="0.25">
      <c r="C3" s="472" t="s">
        <v>147</v>
      </c>
      <c r="D3" s="472"/>
      <c r="E3" s="472"/>
      <c r="F3" s="472"/>
      <c r="G3" s="472"/>
      <c r="H3" s="472"/>
      <c r="I3" s="472"/>
      <c r="J3" s="472"/>
      <c r="K3" s="472"/>
      <c r="L3" s="472"/>
      <c r="M3" s="472"/>
      <c r="N3" s="472"/>
      <c r="O3" s="472"/>
      <c r="P3" s="472"/>
      <c r="Q3" s="472"/>
      <c r="R3" s="472"/>
      <c r="S3" s="472"/>
      <c r="T3" s="36"/>
      <c r="U3" s="36"/>
      <c r="V3" s="36"/>
      <c r="W3" s="36"/>
      <c r="X3" s="36"/>
      <c r="Y3" s="36"/>
      <c r="Z3" s="36"/>
      <c r="AA3" s="36"/>
      <c r="AB3" s="36"/>
      <c r="AC3" s="36"/>
      <c r="AD3" s="37"/>
      <c r="AE3" s="37"/>
      <c r="AF3" s="37"/>
      <c r="AG3" s="37" t="s">
        <v>0</v>
      </c>
      <c r="AH3" s="37"/>
    </row>
    <row r="4" spans="1:35" s="33"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33"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33" customFormat="1" ht="64.5" customHeight="1" x14ac:dyDescent="0.25">
      <c r="A6" s="476"/>
      <c r="B6" s="479"/>
      <c r="C6" s="479"/>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17"/>
      <c r="B8" s="459"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18"/>
      <c r="B9" s="460"/>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19"/>
      <c r="B10" s="461"/>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15" t="s">
        <v>148</v>
      </c>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7"/>
      <c r="AH11" s="64"/>
    </row>
    <row r="12" spans="1:35" s="100" customFormat="1" ht="85.5" customHeight="1" x14ac:dyDescent="0.25">
      <c r="A12" s="423" t="s">
        <v>37</v>
      </c>
      <c r="B12" s="474"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25"/>
      <c r="B13" s="476"/>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362</v>
      </c>
      <c r="AI13" s="106"/>
    </row>
    <row r="14" spans="1:35" s="100" customFormat="1" ht="90.75" customHeight="1" x14ac:dyDescent="0.25">
      <c r="A14" s="423" t="s">
        <v>51</v>
      </c>
      <c r="B14" s="474"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25"/>
      <c r="B15" s="476"/>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427</v>
      </c>
      <c r="AI15" s="106"/>
    </row>
  </sheetData>
  <customSheetViews>
    <customSheetView guid="{133BB3F8-8DD4-4AEF-8CD6-A5FB14681329}" scale="80">
      <pane xSplit="6" ySplit="7" topLeftCell="G8" activePane="bottomRight" state="frozen"/>
      <selection pane="bottomRight" activeCell="F6" sqref="F6"/>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B686A221-D885-4536-BEAC-E7F4BBC02150}" scale="80">
      <pane xSplit="6" ySplit="7" topLeftCell="G8" activePane="bottomRight" state="frozen"/>
      <selection pane="bottomRight" activeCell="T23" sqref="T2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6.75" customHeight="1" x14ac:dyDescent="0.25">
      <c r="A3" s="55"/>
      <c r="B3" s="92"/>
      <c r="C3" s="473" t="s">
        <v>110</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29" t="s">
        <v>26</v>
      </c>
      <c r="B4" s="459" t="s">
        <v>29</v>
      </c>
      <c r="C4" s="459"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30"/>
      <c r="B5" s="460"/>
      <c r="C5" s="460"/>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31"/>
      <c r="B6" s="461"/>
      <c r="C6" s="461"/>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23"/>
      <c r="B8" s="526" t="s">
        <v>23</v>
      </c>
      <c r="C8" s="221" t="s">
        <v>20</v>
      </c>
      <c r="D8" s="222">
        <f>D9+D10+D11</f>
        <v>237090.96999999997</v>
      </c>
      <c r="E8" s="222">
        <f t="shared" ref="E8:G8" si="0">E9+E10+E11</f>
        <v>208040.91</v>
      </c>
      <c r="F8" s="222">
        <f t="shared" si="0"/>
        <v>184971.05600000001</v>
      </c>
      <c r="G8" s="222">
        <f t="shared" si="0"/>
        <v>184971.05600000001</v>
      </c>
      <c r="H8" s="222">
        <f>IFERROR(G8/D8*100,0)</f>
        <v>78.016913086145806</v>
      </c>
      <c r="I8" s="222">
        <f>IFERROR(G8/E8*100,0)</f>
        <v>88.910905071507329</v>
      </c>
      <c r="J8" s="223">
        <f>J9+J10+J11</f>
        <v>11099.454</v>
      </c>
      <c r="K8" s="223">
        <f t="shared" ref="K8:AG8" si="1">K9+K10+K11</f>
        <v>8031.0300000000007</v>
      </c>
      <c r="L8" s="223">
        <f t="shared" si="1"/>
        <v>22542.92</v>
      </c>
      <c r="M8" s="223">
        <f t="shared" si="1"/>
        <v>22853.97</v>
      </c>
      <c r="N8" s="223">
        <f t="shared" si="1"/>
        <v>7164.6900000000005</v>
      </c>
      <c r="O8" s="223">
        <f t="shared" si="1"/>
        <v>7154.33</v>
      </c>
      <c r="P8" s="223">
        <f t="shared" si="1"/>
        <v>14334.031000000001</v>
      </c>
      <c r="Q8" s="223">
        <f t="shared" si="1"/>
        <v>10861.25</v>
      </c>
      <c r="R8" s="223">
        <f t="shared" si="1"/>
        <v>8404.8539999999994</v>
      </c>
      <c r="S8" s="223">
        <f t="shared" si="1"/>
        <v>7694.33</v>
      </c>
      <c r="T8" s="223">
        <f t="shared" si="1"/>
        <v>14937.18</v>
      </c>
      <c r="U8" s="223">
        <f t="shared" si="1"/>
        <v>13635.006000000001</v>
      </c>
      <c r="V8" s="223">
        <f t="shared" si="1"/>
        <v>51243.245999999999</v>
      </c>
      <c r="W8" s="223">
        <f t="shared" si="1"/>
        <v>46126.99</v>
      </c>
      <c r="X8" s="223">
        <f t="shared" si="1"/>
        <v>21081.833999999999</v>
      </c>
      <c r="Y8" s="223">
        <f t="shared" si="1"/>
        <v>14147.14</v>
      </c>
      <c r="Z8" s="223">
        <f t="shared" si="1"/>
        <v>12005.400000000001</v>
      </c>
      <c r="AA8" s="223">
        <f t="shared" si="1"/>
        <v>24538.91</v>
      </c>
      <c r="AB8" s="223">
        <f t="shared" si="1"/>
        <v>22152.911</v>
      </c>
      <c r="AC8" s="223">
        <f t="shared" si="1"/>
        <v>16296.619999999999</v>
      </c>
      <c r="AD8" s="223">
        <f t="shared" si="1"/>
        <v>23074.39</v>
      </c>
      <c r="AE8" s="223">
        <f t="shared" si="1"/>
        <v>13631.48</v>
      </c>
      <c r="AF8" s="223">
        <f t="shared" si="1"/>
        <v>29050.059999999998</v>
      </c>
      <c r="AG8" s="223">
        <f t="shared" si="1"/>
        <v>0</v>
      </c>
      <c r="AH8" s="465"/>
    </row>
    <row r="9" spans="1:35" s="26" customFormat="1" ht="31.5" x14ac:dyDescent="0.25">
      <c r="A9" s="524"/>
      <c r="B9" s="527"/>
      <c r="C9" s="73" t="s">
        <v>52</v>
      </c>
      <c r="D9" s="74">
        <f>J9+L9+N9+P9+R9+T9+V9+X9+Z9+AB9+AD9+AF9</f>
        <v>8957.36</v>
      </c>
      <c r="E9" s="74">
        <f>J9+L9+N9+P9+R9+T9+V9+X9+Z9+AB9+AD9</f>
        <v>4557.3599999999997</v>
      </c>
      <c r="F9" s="74">
        <f>G9</f>
        <v>4557.3599999999997</v>
      </c>
      <c r="G9" s="74">
        <f>K9+M9+O9+Q9+S9+U9+W9+Y9+AA9+AC9+AE9+AG9</f>
        <v>4557.3599999999997</v>
      </c>
      <c r="H9" s="74">
        <f t="shared" ref="H9" si="2">IFERROR(G9/D9*100,0)</f>
        <v>50.878383809515292</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4147.42</v>
      </c>
      <c r="AE9" s="74">
        <f t="shared" si="4"/>
        <v>4147.42</v>
      </c>
      <c r="AF9" s="74">
        <f t="shared" si="4"/>
        <v>4400</v>
      </c>
      <c r="AG9" s="74">
        <f t="shared" si="4"/>
        <v>0</v>
      </c>
      <c r="AH9" s="466"/>
    </row>
    <row r="10" spans="1:35" s="26" customFormat="1" ht="47.25" x14ac:dyDescent="0.25">
      <c r="A10" s="524"/>
      <c r="B10" s="527"/>
      <c r="C10" s="73" t="s">
        <v>22</v>
      </c>
      <c r="D10" s="74">
        <f t="shared" ref="D10:D11" si="5">J10+L10+N10+P10+R10+T10+V10+X10+Z10+AB10+AD10+AF10</f>
        <v>93775.6</v>
      </c>
      <c r="E10" s="74">
        <f>J10+L10+N10+P10+R10+T10+V10+X10+Z10+AB10+AD10</f>
        <v>81131.87000000001</v>
      </c>
      <c r="F10" s="74">
        <f t="shared" ref="F10:F11" si="6">G10</f>
        <v>68689.009999999995</v>
      </c>
      <c r="G10" s="74">
        <f t="shared" ref="G10:G11" si="7">K10+M10+O10+Q10+S10+U10+W10+Y10+AA10+AC10+AE10+AG10</f>
        <v>68689.009999999995</v>
      </c>
      <c r="H10" s="74">
        <f>IFERROR(G10/D10*100,0)</f>
        <v>73.248275670856799</v>
      </c>
      <c r="I10" s="74">
        <f>IFERROR(G10/E10*100,0)</f>
        <v>84.663412787108186</v>
      </c>
      <c r="J10" s="74">
        <f>J15+J19+J36</f>
        <v>455</v>
      </c>
      <c r="K10" s="74">
        <f t="shared" ref="K10:AG10" si="8">K15+K19+K36</f>
        <v>0</v>
      </c>
      <c r="L10" s="74">
        <f t="shared" si="8"/>
        <v>3261.82</v>
      </c>
      <c r="M10" s="74">
        <f t="shared" si="8"/>
        <v>3716.82</v>
      </c>
      <c r="N10" s="74">
        <f t="shared" si="8"/>
        <v>2.1</v>
      </c>
      <c r="O10" s="74">
        <f t="shared" si="8"/>
        <v>2.1</v>
      </c>
      <c r="P10" s="74">
        <f t="shared" si="8"/>
        <v>4308.1000000000004</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10493.55</v>
      </c>
      <c r="AC10" s="74">
        <f t="shared" si="8"/>
        <v>6562.25</v>
      </c>
      <c r="AD10" s="74">
        <f t="shared" si="8"/>
        <v>8407.1</v>
      </c>
      <c r="AE10" s="74">
        <f t="shared" si="8"/>
        <v>467.62</v>
      </c>
      <c r="AF10" s="74">
        <f t="shared" si="8"/>
        <v>12643.73</v>
      </c>
      <c r="AG10" s="74">
        <f t="shared" si="8"/>
        <v>0</v>
      </c>
      <c r="AH10" s="466"/>
    </row>
    <row r="11" spans="1:35" s="26" customFormat="1" ht="31.5" x14ac:dyDescent="0.25">
      <c r="A11" s="525"/>
      <c r="B11" s="528"/>
      <c r="C11" s="73" t="s">
        <v>21</v>
      </c>
      <c r="D11" s="74">
        <f t="shared" si="5"/>
        <v>134358.00999999998</v>
      </c>
      <c r="E11" s="74">
        <f>J11+L11+N11+P11+R11+T11+V11+X11+Z11+AB11+AD11</f>
        <v>122351.67999999999</v>
      </c>
      <c r="F11" s="74">
        <f t="shared" si="6"/>
        <v>111724.68600000002</v>
      </c>
      <c r="G11" s="74">
        <f t="shared" si="7"/>
        <v>111724.68600000002</v>
      </c>
      <c r="H11" s="74">
        <f>IFERROR(G11/D11*100,0)</f>
        <v>83.154466190739228</v>
      </c>
      <c r="I11" s="74">
        <f>IFERROR(G11/E11*100,0)</f>
        <v>91.314386529061167</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10025.931</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11659.361000000001</v>
      </c>
      <c r="AC11" s="74">
        <f t="shared" si="9"/>
        <v>9734.369999999999</v>
      </c>
      <c r="AD11" s="74">
        <f t="shared" si="9"/>
        <v>10519.87</v>
      </c>
      <c r="AE11" s="74">
        <f t="shared" si="9"/>
        <v>9016.44</v>
      </c>
      <c r="AF11" s="74">
        <f t="shared" si="9"/>
        <v>12006.33</v>
      </c>
      <c r="AG11" s="74">
        <f t="shared" si="9"/>
        <v>0</v>
      </c>
      <c r="AH11" s="467"/>
    </row>
    <row r="12" spans="1:35" s="18" customFormat="1" ht="18.75" customHeight="1" x14ac:dyDescent="0.25">
      <c r="A12" s="68"/>
      <c r="B12" s="415" t="s">
        <v>57</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46"/>
    </row>
    <row r="13" spans="1:35" s="21" customFormat="1" ht="15.75" x14ac:dyDescent="0.25">
      <c r="A13" s="493" t="s">
        <v>50</v>
      </c>
      <c r="B13" s="496" t="s">
        <v>58</v>
      </c>
      <c r="C13" s="81" t="s">
        <v>20</v>
      </c>
      <c r="D13" s="82">
        <f>D15+D16+D14</f>
        <v>7298.54</v>
      </c>
      <c r="E13" s="82">
        <f t="shared" ref="E13:AG13" si="10">E15+E16+E14</f>
        <v>7298.54</v>
      </c>
      <c r="F13" s="82">
        <f t="shared" si="10"/>
        <v>7298.54</v>
      </c>
      <c r="G13" s="82">
        <f t="shared" si="10"/>
        <v>7298.54</v>
      </c>
      <c r="H13" s="82">
        <f t="shared" ref="H13:H36" si="11">IFERROR(G13/D13*100,0)</f>
        <v>100</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0</v>
      </c>
      <c r="AG13" s="82">
        <f t="shared" si="10"/>
        <v>0</v>
      </c>
      <c r="AH13" s="429" t="s">
        <v>434</v>
      </c>
      <c r="AI13" s="23"/>
    </row>
    <row r="14" spans="1:35" s="21" customFormat="1" ht="31.5" x14ac:dyDescent="0.25">
      <c r="A14" s="494"/>
      <c r="B14" s="497"/>
      <c r="C14" s="61" t="s">
        <v>52</v>
      </c>
      <c r="D14" s="62">
        <f>SUM(J14,L14,N14,P14,R14,T14,V14,X14,Z14,AB14,AD14,AF14)</f>
        <v>409.94</v>
      </c>
      <c r="E14" s="62">
        <f>J14+L14+N14+P14+R14+T14+V14+X14+Z14+AB14+AD14</f>
        <v>409.94</v>
      </c>
      <c r="F14" s="62">
        <f>G14</f>
        <v>409.94</v>
      </c>
      <c r="G14" s="62">
        <f>SUM(K14,M14,O14,Q14,S14,U14,W14,Y14,AA14,AC14,AE14,AG14)</f>
        <v>409.94</v>
      </c>
      <c r="H14" s="62">
        <f t="shared" si="11"/>
        <v>100</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0</v>
      </c>
      <c r="AG14" s="62">
        <v>0</v>
      </c>
      <c r="AH14" s="430"/>
      <c r="AI14" s="23"/>
    </row>
    <row r="15" spans="1:35" s="21" customFormat="1" ht="47.25" x14ac:dyDescent="0.25">
      <c r="A15" s="494"/>
      <c r="B15" s="497"/>
      <c r="C15" s="61" t="s">
        <v>22</v>
      </c>
      <c r="D15" s="62">
        <f>SUM(J15,L15,N15,P15,R15,T15,V15,X15,Z15,AB15,AD15,AF15)</f>
        <v>6523.64</v>
      </c>
      <c r="E15" s="62">
        <f t="shared" ref="E15:E16" si="13">J15+L15+N15+P15+R15+T15+V15+X15+Z15+AB15+AD15</f>
        <v>6523.64</v>
      </c>
      <c r="F15" s="62">
        <f>G15</f>
        <v>6523.64</v>
      </c>
      <c r="G15" s="62">
        <f>SUM(K15,M15,O15,Q15,S15,U15,W15,Y15,AA15,AC15,AE15,AG15)</f>
        <v>6523.64</v>
      </c>
      <c r="H15" s="62">
        <f t="shared" si="11"/>
        <v>100</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0</v>
      </c>
      <c r="AG15" s="63">
        <v>0</v>
      </c>
      <c r="AH15" s="430"/>
      <c r="AI15" s="23"/>
    </row>
    <row r="16" spans="1:35" s="22" customFormat="1" ht="31.5" x14ac:dyDescent="0.25">
      <c r="A16" s="495"/>
      <c r="B16" s="498"/>
      <c r="C16" s="61" t="s">
        <v>21</v>
      </c>
      <c r="D16" s="62">
        <f>SUM(J16,L16,N16,P16,R16,T16,V16,X16,Z16,AB16,AD16,AF16)</f>
        <v>364.96</v>
      </c>
      <c r="E16" s="62">
        <f t="shared" si="13"/>
        <v>364.96</v>
      </c>
      <c r="F16" s="62">
        <f>G16</f>
        <v>364.96</v>
      </c>
      <c r="G16" s="62">
        <f>SUM(K16,M16,O16,Q16,S16,U16,W16,Y16,AA16,AC16,AE16,AG16)</f>
        <v>364.96</v>
      </c>
      <c r="H16" s="62">
        <f t="shared" si="11"/>
        <v>100</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0</v>
      </c>
      <c r="AG16" s="67">
        <v>0</v>
      </c>
      <c r="AH16" s="431"/>
      <c r="AI16" s="20"/>
    </row>
    <row r="17" spans="1:35" s="22" customFormat="1" ht="23.25" customHeight="1" x14ac:dyDescent="0.25">
      <c r="A17" s="88"/>
      <c r="B17" s="415" t="s">
        <v>66</v>
      </c>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416"/>
      <c r="AG17" s="417"/>
      <c r="AH17" s="64"/>
      <c r="AI17" s="20"/>
    </row>
    <row r="18" spans="1:35" s="22" customFormat="1" ht="28.5" customHeight="1" x14ac:dyDescent="0.25">
      <c r="A18" s="533" t="s">
        <v>38</v>
      </c>
      <c r="B18" s="496" t="s">
        <v>59</v>
      </c>
      <c r="C18" s="81" t="s">
        <v>20</v>
      </c>
      <c r="D18" s="82">
        <f>D20+D19</f>
        <v>105360.13</v>
      </c>
      <c r="E18" s="82">
        <f t="shared" ref="E18:G18" si="14">E20+E19</f>
        <v>90515.88</v>
      </c>
      <c r="F18" s="82">
        <f t="shared" si="14"/>
        <v>76842.300000000017</v>
      </c>
      <c r="G18" s="82">
        <f t="shared" si="14"/>
        <v>76842.300000000017</v>
      </c>
      <c r="H18" s="82">
        <f t="shared" si="11"/>
        <v>72.932996570904024</v>
      </c>
      <c r="I18" s="82">
        <f t="shared" si="12"/>
        <v>84.893722515872369</v>
      </c>
      <c r="J18" s="83">
        <f>J20+J19</f>
        <v>500</v>
      </c>
      <c r="K18" s="83">
        <f t="shared" ref="K18:AG18" si="15">K20+K19</f>
        <v>0</v>
      </c>
      <c r="L18" s="83">
        <f t="shared" si="15"/>
        <v>8041</v>
      </c>
      <c r="M18" s="83">
        <f t="shared" si="15"/>
        <v>8541</v>
      </c>
      <c r="N18" s="83">
        <f t="shared" si="15"/>
        <v>0</v>
      </c>
      <c r="O18" s="83">
        <f t="shared" si="15"/>
        <v>0</v>
      </c>
      <c r="P18" s="83">
        <f t="shared" si="15"/>
        <v>4734.18</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12021.439999999999</v>
      </c>
      <c r="AC18" s="83">
        <f t="shared" si="15"/>
        <v>7701.27</v>
      </c>
      <c r="AD18" s="83">
        <f t="shared" si="15"/>
        <v>9238.57</v>
      </c>
      <c r="AE18" s="83">
        <f t="shared" si="15"/>
        <v>513.87</v>
      </c>
      <c r="AF18" s="83">
        <f t="shared" si="15"/>
        <v>14844.25</v>
      </c>
      <c r="AG18" s="83">
        <f t="shared" si="15"/>
        <v>0</v>
      </c>
      <c r="AH18" s="459"/>
      <c r="AI18" s="20"/>
    </row>
    <row r="19" spans="1:35" s="26" customFormat="1" ht="47.25" x14ac:dyDescent="0.25">
      <c r="A19" s="534"/>
      <c r="B19" s="497"/>
      <c r="C19" s="73" t="s">
        <v>22</v>
      </c>
      <c r="D19" s="74">
        <f>SUM(J19,L19,N19,P19,R19,T19,V19,X19,Z19,AB19,AD19,AF19)</f>
        <v>87249.86</v>
      </c>
      <c r="E19" s="74">
        <f>J19+L19+N19+P19+R19+T19+V19+X19+Z19+AB19+AD19</f>
        <v>74606.13</v>
      </c>
      <c r="F19" s="74">
        <f>G19</f>
        <v>62163.270000000011</v>
      </c>
      <c r="G19" s="74">
        <f>SUM(K19,M19,O19,Q19,S19,U19,W19,Y19,AA19,AC19,AE19,AG19)</f>
        <v>62163.270000000011</v>
      </c>
      <c r="H19" s="74">
        <f>IFERROR(G19/D19*100,0)</f>
        <v>71.247415182098877</v>
      </c>
      <c r="I19" s="74">
        <f>IFERROR(G19/E19*100,0)</f>
        <v>83.321933465788945</v>
      </c>
      <c r="J19" s="67">
        <f>J22+J25+J28+J31</f>
        <v>455</v>
      </c>
      <c r="K19" s="67">
        <f t="shared" ref="K19:AG19" si="16">K22+K25+K28+K31</f>
        <v>0</v>
      </c>
      <c r="L19" s="67">
        <f t="shared" si="16"/>
        <v>0</v>
      </c>
      <c r="M19" s="67">
        <f t="shared" si="16"/>
        <v>455</v>
      </c>
      <c r="N19" s="67">
        <f t="shared" si="16"/>
        <v>0</v>
      </c>
      <c r="O19" s="67">
        <f t="shared" si="16"/>
        <v>0</v>
      </c>
      <c r="P19" s="67">
        <f t="shared" si="16"/>
        <v>4308.1000000000004</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10493.55</v>
      </c>
      <c r="AC19" s="67">
        <f t="shared" si="16"/>
        <v>6562.25</v>
      </c>
      <c r="AD19" s="67">
        <f t="shared" si="16"/>
        <v>8407.1</v>
      </c>
      <c r="AE19" s="67">
        <f t="shared" si="16"/>
        <v>467.62</v>
      </c>
      <c r="AF19" s="67">
        <f t="shared" si="16"/>
        <v>12643.73</v>
      </c>
      <c r="AG19" s="67">
        <f t="shared" si="16"/>
        <v>0</v>
      </c>
      <c r="AH19" s="460"/>
      <c r="AI19" s="24"/>
    </row>
    <row r="20" spans="1:35" s="26" customFormat="1" ht="31.5" x14ac:dyDescent="0.25">
      <c r="A20" s="494"/>
      <c r="B20" s="497"/>
      <c r="C20" s="73" t="s">
        <v>21</v>
      </c>
      <c r="D20" s="74">
        <f>SUM(J20,L20,N20,P20,R20,T20,V20,X20,Z20,AB20,AD20,AF20)</f>
        <v>18110.269999999997</v>
      </c>
      <c r="E20" s="74">
        <f>J20+L20+N20+P20+R20+T20+V20+X20+Z20+AB20+AD20</f>
        <v>15909.749999999998</v>
      </c>
      <c r="F20" s="74">
        <f>G20</f>
        <v>14679.03</v>
      </c>
      <c r="G20" s="74">
        <f>SUM(K20,M20,O20,Q20,S20,U20,W20,Y20,AA20,AC20,AE20,AG20)</f>
        <v>14679.03</v>
      </c>
      <c r="H20" s="74">
        <f>IFERROR(G20/D20*100,0)</f>
        <v>81.053623165198559</v>
      </c>
      <c r="I20" s="74">
        <f>IFERROR(G20/E20*100,0)</f>
        <v>92.264366190543541</v>
      </c>
      <c r="J20" s="67">
        <f>J23+J26+J29+J32</f>
        <v>45</v>
      </c>
      <c r="K20" s="67">
        <f t="shared" ref="K20:AG20" si="17">K23+K26+K29+K32</f>
        <v>0</v>
      </c>
      <c r="L20" s="67">
        <f t="shared" si="17"/>
        <v>8041</v>
      </c>
      <c r="M20" s="67">
        <f t="shared" si="17"/>
        <v>8086</v>
      </c>
      <c r="N20" s="67">
        <f t="shared" si="17"/>
        <v>0</v>
      </c>
      <c r="O20" s="67">
        <f t="shared" si="17"/>
        <v>0</v>
      </c>
      <c r="P20" s="67">
        <f t="shared" si="17"/>
        <v>426.08</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1527.8899999999999</v>
      </c>
      <c r="AC20" s="67">
        <f t="shared" si="17"/>
        <v>1139.02</v>
      </c>
      <c r="AD20" s="67">
        <f t="shared" si="17"/>
        <v>831.47</v>
      </c>
      <c r="AE20" s="67">
        <f t="shared" si="17"/>
        <v>46.25</v>
      </c>
      <c r="AF20" s="67">
        <f t="shared" si="17"/>
        <v>2200.52</v>
      </c>
      <c r="AG20" s="67">
        <f t="shared" si="17"/>
        <v>0</v>
      </c>
      <c r="AH20" s="461"/>
      <c r="AI20" s="24"/>
    </row>
    <row r="21" spans="1:35" s="22" customFormat="1" ht="21" x14ac:dyDescent="0.25">
      <c r="A21" s="453"/>
      <c r="B21" s="530"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74" t="s">
        <v>440</v>
      </c>
      <c r="AI21" s="20"/>
    </row>
    <row r="22" spans="1:35" s="22" customFormat="1" ht="47.25" x14ac:dyDescent="0.25">
      <c r="A22" s="454"/>
      <c r="B22" s="531"/>
      <c r="C22" s="61" t="s">
        <v>22</v>
      </c>
      <c r="D22" s="62">
        <f>SUM(J22,L22,N22,P22,R22,T22,V22,X22,Z22,AB22,AD22,AF22)</f>
        <v>1261.8</v>
      </c>
      <c r="E22" s="62">
        <f>J22+L22+N22+P22+R22+T22+V22+X22+Z22+AB22+AD22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3">
        <v>1018.15</v>
      </c>
      <c r="AC22" s="63">
        <v>344.66</v>
      </c>
      <c r="AD22" s="63">
        <v>0</v>
      </c>
      <c r="AE22" s="63">
        <v>0</v>
      </c>
      <c r="AF22" s="63">
        <v>0</v>
      </c>
      <c r="AG22" s="63">
        <v>0</v>
      </c>
      <c r="AH22" s="475"/>
      <c r="AI22" s="20"/>
    </row>
    <row r="23" spans="1:35" s="22" customFormat="1" ht="31.5" x14ac:dyDescent="0.25">
      <c r="A23" s="424"/>
      <c r="B23" s="531"/>
      <c r="C23" s="61" t="s">
        <v>21</v>
      </c>
      <c r="D23" s="62">
        <f>SUM(J23,L23,N23,P23,R23,T23,V23,X23,Z23,AB23,AD23,AF23)</f>
        <v>1564.8600000000001</v>
      </c>
      <c r="E23" s="62">
        <f>J23+L23+N23+P23+R23+T23+V23+X23+Z23+AB23+AD23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3">
        <f>100.76+490</f>
        <v>590.76</v>
      </c>
      <c r="AC23" s="63">
        <v>524.09</v>
      </c>
      <c r="AD23" s="63">
        <v>0</v>
      </c>
      <c r="AE23" s="63">
        <v>0</v>
      </c>
      <c r="AF23" s="63">
        <v>950</v>
      </c>
      <c r="AG23" s="63">
        <v>0</v>
      </c>
      <c r="AH23" s="476"/>
      <c r="AI23" s="20"/>
    </row>
    <row r="24" spans="1:35" s="22" customFormat="1" ht="21" x14ac:dyDescent="0.25">
      <c r="A24" s="424"/>
      <c r="B24" s="530" t="s">
        <v>60</v>
      </c>
      <c r="C24" s="57" t="s">
        <v>20</v>
      </c>
      <c r="D24" s="58">
        <f>D26+D25</f>
        <v>38904.75</v>
      </c>
      <c r="E24" s="58">
        <f t="shared" ref="E24" si="46">E26+E25</f>
        <v>30999.07</v>
      </c>
      <c r="F24" s="58">
        <f t="shared" ref="F24" si="47">F26+F25</f>
        <v>21645.65</v>
      </c>
      <c r="G24" s="58">
        <f t="shared" ref="G24" si="48">G26+G25</f>
        <v>21645.65</v>
      </c>
      <c r="H24" s="58">
        <f t="shared" ref="H24" si="49">IFERROR(G24/D24*100,0)</f>
        <v>55.637550684685031</v>
      </c>
      <c r="I24" s="58">
        <f t="shared" ref="I24" si="50">IFERROR(G24/E24*100,0)</f>
        <v>69.826772222521512</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7905.68</v>
      </c>
      <c r="AG24" s="59">
        <f t="shared" ref="AG24" si="73">AG26+AG25</f>
        <v>0</v>
      </c>
      <c r="AH24" s="520" t="s">
        <v>386</v>
      </c>
      <c r="AI24" s="20"/>
    </row>
    <row r="25" spans="1:35" s="22" customFormat="1" ht="47.25" x14ac:dyDescent="0.25">
      <c r="A25" s="424"/>
      <c r="B25" s="531"/>
      <c r="C25" s="61" t="s">
        <v>22</v>
      </c>
      <c r="D25" s="74">
        <f>SUM(J25,L25,N25,P25,R25,T25,V25,X25,Z25,AB25,AD25,AF25)</f>
        <v>35403.279999999999</v>
      </c>
      <c r="E25" s="74">
        <f>J25+L25+N25+P25+R25+T25+V25+X25+Z25+AB25+AD25</f>
        <v>28209.1</v>
      </c>
      <c r="F25" s="74">
        <f>G25</f>
        <v>19697.54</v>
      </c>
      <c r="G25" s="74">
        <f>SUM(K25,M25,O25,Q25,S25,U25,W25,Y25,AA25,AC25,AE25,AG25)</f>
        <v>19697.54</v>
      </c>
      <c r="H25" s="74">
        <f>IFERROR(G25/D25*100,0)</f>
        <v>55.637613238095462</v>
      </c>
      <c r="I25" s="74">
        <f>IFERROR(G25/E25*100,0)</f>
        <v>69.826899830196638</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7194.18</v>
      </c>
      <c r="AG25" s="63">
        <v>0</v>
      </c>
      <c r="AH25" s="521"/>
      <c r="AI25" s="20"/>
    </row>
    <row r="26" spans="1:35" s="22" customFormat="1" ht="31.5" x14ac:dyDescent="0.25">
      <c r="A26" s="425"/>
      <c r="B26" s="531"/>
      <c r="C26" s="61" t="s">
        <v>21</v>
      </c>
      <c r="D26" s="74">
        <f>SUM(J26,L26,N26,P26,R26,T26,V26,X26,Z26,AB26,AD26,AF26)</f>
        <v>3501.4700000000003</v>
      </c>
      <c r="E26" s="74">
        <f>J26+L26+N26+P26+R26+T26+V26+X26+Z26+AB26+AD26</f>
        <v>2789.9700000000003</v>
      </c>
      <c r="F26" s="74">
        <f>G26</f>
        <v>1948.1100000000001</v>
      </c>
      <c r="G26" s="74">
        <f>SUM(K26,M26,O26,Q26,S26,U26,W26,Y26,AA26,AC26,AE26,AG26)</f>
        <v>1948.1100000000001</v>
      </c>
      <c r="H26" s="74">
        <f>IFERROR(G26/D26*100,0)</f>
        <v>55.636918208638086</v>
      </c>
      <c r="I26" s="74">
        <f>IFERROR(G26/E26*100,0)</f>
        <v>69.825481994430049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711.5</v>
      </c>
      <c r="AG26" s="63">
        <v>0</v>
      </c>
      <c r="AH26" s="522"/>
      <c r="AI26" s="20"/>
    </row>
    <row r="27" spans="1:35" s="22" customFormat="1" ht="21" x14ac:dyDescent="0.25">
      <c r="A27" s="423"/>
      <c r="B27" s="530" t="s">
        <v>62</v>
      </c>
      <c r="C27" s="57" t="s">
        <v>20</v>
      </c>
      <c r="D27" s="58">
        <f>D29+D28</f>
        <v>12775.18</v>
      </c>
      <c r="E27" s="58">
        <f t="shared" ref="E27" si="74">E29+E28</f>
        <v>12775.18</v>
      </c>
      <c r="F27" s="58">
        <f t="shared" ref="F27" si="75">F29+F28</f>
        <v>12775.18</v>
      </c>
      <c r="G27" s="58">
        <f t="shared" ref="G27" si="76">G29+G28</f>
        <v>12775.18</v>
      </c>
      <c r="H27" s="58">
        <f t="shared" ref="H27" si="77">IFERROR(G27/D27*100,0)</f>
        <v>100</v>
      </c>
      <c r="I27" s="58">
        <f t="shared" ref="I27" si="78">IFERROR(G27/E27*100,0)</f>
        <v>100</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4734.18</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513.87</v>
      </c>
      <c r="AF27" s="59">
        <f t="shared" ref="AF27" si="100">AF29+AF28</f>
        <v>0</v>
      </c>
      <c r="AG27" s="59">
        <f t="shared" ref="AG27" si="101">AG29+AG28</f>
        <v>0</v>
      </c>
      <c r="AH27" s="474" t="s">
        <v>433</v>
      </c>
      <c r="AI27" s="20"/>
    </row>
    <row r="28" spans="1:35" s="22" customFormat="1" ht="47.25" x14ac:dyDescent="0.25">
      <c r="A28" s="424"/>
      <c r="B28" s="531"/>
      <c r="C28" s="61" t="s">
        <v>22</v>
      </c>
      <c r="D28" s="62">
        <f>SUM(J28,L28,N28,P28,R28,T28,V28,X28,Z28,AB28,AD28,AF28)</f>
        <v>4308.1000000000004</v>
      </c>
      <c r="E28" s="62">
        <f>J28+L28+N28+P28+R28+T28+V28+X28+Z28+AB28+AD28</f>
        <v>4308.1000000000004</v>
      </c>
      <c r="F28" s="62">
        <f>G28</f>
        <v>4308.1000000000004</v>
      </c>
      <c r="G28" s="62">
        <f>SUM(K28,M28,O28,Q28,S28,U28,W28,Y28,AA28,AC28,AE28,AG28)</f>
        <v>4308.1000000000004</v>
      </c>
      <c r="H28" s="62">
        <f>IFERROR(G28/D28*100,0)</f>
        <v>100</v>
      </c>
      <c r="I28" s="62">
        <f>IFERROR(G28/E28*100,0)</f>
        <v>100</v>
      </c>
      <c r="J28" s="63">
        <v>0</v>
      </c>
      <c r="K28" s="63">
        <v>0</v>
      </c>
      <c r="L28" s="63">
        <v>0</v>
      </c>
      <c r="M28" s="63">
        <v>0</v>
      </c>
      <c r="N28" s="63">
        <v>0</v>
      </c>
      <c r="O28" s="63">
        <v>0</v>
      </c>
      <c r="P28" s="63">
        <v>4308.1000000000004</v>
      </c>
      <c r="Q28" s="63">
        <v>1976.98</v>
      </c>
      <c r="R28" s="63">
        <v>0</v>
      </c>
      <c r="S28" s="63">
        <v>0</v>
      </c>
      <c r="T28" s="63">
        <v>0</v>
      </c>
      <c r="U28" s="63">
        <v>0</v>
      </c>
      <c r="V28" s="63">
        <v>0</v>
      </c>
      <c r="W28" s="63">
        <v>0</v>
      </c>
      <c r="X28" s="63">
        <v>0</v>
      </c>
      <c r="Y28" s="63">
        <v>0</v>
      </c>
      <c r="Z28" s="63">
        <v>0</v>
      </c>
      <c r="AA28" s="63">
        <v>1863.5</v>
      </c>
      <c r="AB28" s="63">
        <v>0</v>
      </c>
      <c r="AC28" s="63">
        <v>0</v>
      </c>
      <c r="AD28" s="63">
        <v>0</v>
      </c>
      <c r="AE28" s="63">
        <v>467.62</v>
      </c>
      <c r="AF28" s="63">
        <v>0</v>
      </c>
      <c r="AG28" s="63">
        <v>0</v>
      </c>
      <c r="AH28" s="475"/>
      <c r="AI28" s="20"/>
    </row>
    <row r="29" spans="1:35" s="22" customFormat="1" ht="31.5" x14ac:dyDescent="0.25">
      <c r="A29" s="425"/>
      <c r="B29" s="531"/>
      <c r="C29" s="61" t="s">
        <v>21</v>
      </c>
      <c r="D29" s="62">
        <f>SUM(J29,L29,N29,P29,R29,T29,V29,X29,Z29,AB29,AD29,AF29)</f>
        <v>8467.08</v>
      </c>
      <c r="E29" s="62">
        <f>J29+L29+N29+P29+R29+T29+V29+X29+Z29+AB29+AD29</f>
        <v>8467.08</v>
      </c>
      <c r="F29" s="62">
        <f>G29</f>
        <v>8467.08</v>
      </c>
      <c r="G29" s="62">
        <f>SUM(K29,M29,O29,Q29,S29,U29,W29,Y29,AA29,AC29,AE29,AG29)</f>
        <v>8467.08</v>
      </c>
      <c r="H29" s="62">
        <f>IFERROR(G29/D29*100,0)</f>
        <v>100</v>
      </c>
      <c r="I29" s="62">
        <f>IFERROR(G29/E29*100,0)</f>
        <v>100</v>
      </c>
      <c r="J29" s="63">
        <v>0</v>
      </c>
      <c r="K29" s="63">
        <v>0</v>
      </c>
      <c r="L29" s="63">
        <v>8041</v>
      </c>
      <c r="M29" s="63">
        <v>8041</v>
      </c>
      <c r="N29" s="63">
        <v>0</v>
      </c>
      <c r="O29" s="63">
        <v>0</v>
      </c>
      <c r="P29" s="63">
        <v>426.08</v>
      </c>
      <c r="Q29" s="63">
        <v>195.53</v>
      </c>
      <c r="R29" s="63">
        <v>0</v>
      </c>
      <c r="S29" s="63">
        <v>0</v>
      </c>
      <c r="T29" s="63">
        <v>0</v>
      </c>
      <c r="U29" s="63">
        <v>0</v>
      </c>
      <c r="V29" s="63">
        <v>0</v>
      </c>
      <c r="W29" s="63">
        <v>0</v>
      </c>
      <c r="X29" s="63">
        <v>0</v>
      </c>
      <c r="Y29" s="63">
        <v>0</v>
      </c>
      <c r="Z29" s="63">
        <v>0</v>
      </c>
      <c r="AA29" s="63">
        <v>184.3</v>
      </c>
      <c r="AB29" s="63">
        <v>0</v>
      </c>
      <c r="AC29" s="63">
        <v>0</v>
      </c>
      <c r="AD29" s="63">
        <v>0</v>
      </c>
      <c r="AE29" s="63">
        <v>46.25</v>
      </c>
      <c r="AF29" s="63">
        <v>0</v>
      </c>
      <c r="AG29" s="63">
        <v>0</v>
      </c>
      <c r="AH29" s="476"/>
      <c r="AI29" s="20"/>
    </row>
    <row r="30" spans="1:35" s="22" customFormat="1" ht="21" x14ac:dyDescent="0.25">
      <c r="A30" s="423"/>
      <c r="B30" s="530" t="s">
        <v>381</v>
      </c>
      <c r="C30" s="57" t="s">
        <v>20</v>
      </c>
      <c r="D30" s="58">
        <f>D32+D31</f>
        <v>50853.54</v>
      </c>
      <c r="E30" s="58">
        <f t="shared" ref="E30:G30" si="102">E32+E31</f>
        <v>44864.97</v>
      </c>
      <c r="F30" s="58">
        <f t="shared" si="102"/>
        <v>41284.97</v>
      </c>
      <c r="G30" s="58">
        <f t="shared" si="102"/>
        <v>41284.97</v>
      </c>
      <c r="H30" s="58">
        <f t="shared" ref="H30" si="103">IFERROR(G30/D30*100,0)</f>
        <v>81.184063095705824</v>
      </c>
      <c r="I30" s="58">
        <f t="shared" ref="I30" si="104">IFERROR(G30/E30*100,0)</f>
        <v>92.020500626658176</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10412.529999999999</v>
      </c>
      <c r="AC30" s="59">
        <f t="shared" si="105"/>
        <v>6832.52</v>
      </c>
      <c r="AD30" s="59">
        <f t="shared" si="105"/>
        <v>0</v>
      </c>
      <c r="AE30" s="59">
        <f t="shared" si="105"/>
        <v>0</v>
      </c>
      <c r="AF30" s="59">
        <f t="shared" si="105"/>
        <v>5988.57</v>
      </c>
      <c r="AG30" s="59">
        <f t="shared" si="105"/>
        <v>0</v>
      </c>
      <c r="AH30" s="474" t="s">
        <v>435</v>
      </c>
      <c r="AI30" s="20"/>
    </row>
    <row r="31" spans="1:35" s="22" customFormat="1" ht="47.25" x14ac:dyDescent="0.25">
      <c r="A31" s="424"/>
      <c r="B31" s="531"/>
      <c r="C31" s="349" t="s">
        <v>22</v>
      </c>
      <c r="D31" s="62">
        <f>SUM(J31,L31,N31,P31,R31,T31,V31,X31,Z31,AB31,AD31,AF31)</f>
        <v>46276.68</v>
      </c>
      <c r="E31" s="62">
        <f>J31+L31+N31+P31+R31+T31+V31+X31+Z31+AB31+AD31</f>
        <v>40827.129999999997</v>
      </c>
      <c r="F31" s="62">
        <f>G31</f>
        <v>37569.32</v>
      </c>
      <c r="G31" s="62">
        <f>SUM(K31,M31,O31,Q31,S31,U31,W31,Y31,AA31,AC31,AE31,AG31)</f>
        <v>37569.32</v>
      </c>
      <c r="H31" s="62">
        <f>IFERROR(G31/D31*100,0)</f>
        <v>81.184129890043963</v>
      </c>
      <c r="I31" s="62">
        <f>IFERROR(G31/E31*100,0)</f>
        <v>92.02047755989706</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9475.4</v>
      </c>
      <c r="AC31" s="63">
        <v>6217.59</v>
      </c>
      <c r="AD31" s="63">
        <v>0</v>
      </c>
      <c r="AE31" s="63">
        <v>0</v>
      </c>
      <c r="AF31" s="63">
        <v>5449.55</v>
      </c>
      <c r="AG31" s="63">
        <v>0</v>
      </c>
      <c r="AH31" s="475"/>
      <c r="AI31" s="20"/>
    </row>
    <row r="32" spans="1:35" s="22" customFormat="1" ht="31.5" x14ac:dyDescent="0.25">
      <c r="A32" s="424"/>
      <c r="B32" s="532"/>
      <c r="C32" s="349" t="s">
        <v>21</v>
      </c>
      <c r="D32" s="62">
        <f>SUM(J32,L32,N32,P32,R32,T32,V32,X32,Z32,AB32,AD32,AF32)</f>
        <v>4576.8600000000006</v>
      </c>
      <c r="E32" s="62">
        <f>J32+L32+N32+P32+R32+T32+V32+X32+Z32+AB32+AD32</f>
        <v>4037.84</v>
      </c>
      <c r="F32" s="62">
        <f>G32</f>
        <v>3715.65</v>
      </c>
      <c r="G32" s="62">
        <f>SUM(K32,M32,O32,Q32,S32,U32,W32,Y32,AA32,AC32,AE32,AG32)</f>
        <v>3715.65</v>
      </c>
      <c r="H32" s="62">
        <f>IFERROR(G32/D32*100,0)</f>
        <v>81.183387737444448</v>
      </c>
      <c r="I32" s="62">
        <f>IFERROR(G32/E32*100,0)</f>
        <v>92.020733857706091</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937.13</v>
      </c>
      <c r="AC32" s="63">
        <v>614.92999999999995</v>
      </c>
      <c r="AD32" s="63">
        <v>0</v>
      </c>
      <c r="AE32" s="63">
        <v>0</v>
      </c>
      <c r="AF32" s="63">
        <v>539.02</v>
      </c>
      <c r="AG32" s="63">
        <v>0</v>
      </c>
      <c r="AH32" s="476"/>
      <c r="AI32" s="20"/>
    </row>
    <row r="33" spans="1:35" s="22" customFormat="1" ht="25.5" customHeight="1" x14ac:dyDescent="0.25">
      <c r="A33" s="88"/>
      <c r="B33" s="415" t="s">
        <v>67</v>
      </c>
      <c r="C33" s="416"/>
      <c r="D33" s="416"/>
      <c r="E33" s="416"/>
      <c r="F33" s="416"/>
      <c r="G33" s="416"/>
      <c r="H33" s="416"/>
      <c r="I33" s="416"/>
      <c r="J33" s="416"/>
      <c r="K33" s="416"/>
      <c r="L33" s="416"/>
      <c r="M33" s="416"/>
      <c r="N33" s="416"/>
      <c r="O33" s="416"/>
      <c r="P33" s="416"/>
      <c r="Q33" s="416"/>
      <c r="R33" s="416"/>
      <c r="S33" s="416"/>
      <c r="T33" s="416"/>
      <c r="U33" s="416"/>
      <c r="V33" s="416"/>
      <c r="W33" s="416"/>
      <c r="X33" s="416"/>
      <c r="Y33" s="416"/>
      <c r="Z33" s="416"/>
      <c r="AA33" s="416"/>
      <c r="AB33" s="416"/>
      <c r="AC33" s="416"/>
      <c r="AD33" s="416"/>
      <c r="AE33" s="416"/>
      <c r="AF33" s="416"/>
      <c r="AG33" s="417"/>
      <c r="AH33" s="60"/>
      <c r="AI33" s="20"/>
    </row>
    <row r="34" spans="1:35" s="22" customFormat="1" ht="21" x14ac:dyDescent="0.25">
      <c r="A34" s="533" t="s">
        <v>63</v>
      </c>
      <c r="B34" s="496" t="s">
        <v>64</v>
      </c>
      <c r="C34" s="81" t="s">
        <v>20</v>
      </c>
      <c r="D34" s="82">
        <f t="shared" ref="D34:D44" si="106">SUM(J34,L34,N34,P34,R34,T34,V34,X34,Z34,AB34,AD34,AF34)</f>
        <v>9816.7900000000009</v>
      </c>
      <c r="E34" s="82">
        <f>E35+E36+E37</f>
        <v>5416.7900000000009</v>
      </c>
      <c r="F34" s="82">
        <f>F35+F36+F37</f>
        <v>5416.7900000000009</v>
      </c>
      <c r="G34" s="82">
        <f>G35+G36+G37</f>
        <v>5416.7900000000009</v>
      </c>
      <c r="H34" s="82">
        <f t="shared" si="11"/>
        <v>55.178831369520999</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5414.6900000000005</v>
      </c>
      <c r="AE34" s="83">
        <f t="shared" si="107"/>
        <v>5414.6900000000005</v>
      </c>
      <c r="AF34" s="83">
        <f t="shared" si="107"/>
        <v>4400</v>
      </c>
      <c r="AG34" s="83">
        <f t="shared" si="107"/>
        <v>0</v>
      </c>
      <c r="AH34" s="474"/>
      <c r="AI34" s="20"/>
    </row>
    <row r="35" spans="1:35" s="22" customFormat="1" ht="31.5" x14ac:dyDescent="0.25">
      <c r="A35" s="534"/>
      <c r="B35" s="497"/>
      <c r="C35" s="61" t="s">
        <v>52</v>
      </c>
      <c r="D35" s="62">
        <f t="shared" si="106"/>
        <v>8547.42</v>
      </c>
      <c r="E35" s="62">
        <f>J35+L35+N35+P35+R35+T35+V35+X35+Z35+AB35+AD35</f>
        <v>4147.42</v>
      </c>
      <c r="F35" s="62">
        <f>G35</f>
        <v>4147.42</v>
      </c>
      <c r="G35" s="62">
        <f>SUM(K35,M35,O35,Q35,S35,U35,W35,Y35,AA35,AC35,AE35,AG35)</f>
        <v>4147.42</v>
      </c>
      <c r="H35" s="62">
        <f t="shared" si="11"/>
        <v>48.522478127902922</v>
      </c>
      <c r="I35" s="62">
        <f t="shared" si="12"/>
        <v>100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4147.42</v>
      </c>
      <c r="AE35" s="63">
        <f t="shared" si="108"/>
        <v>4147.42</v>
      </c>
      <c r="AF35" s="63">
        <f t="shared" si="108"/>
        <v>4400</v>
      </c>
      <c r="AG35" s="63">
        <f t="shared" si="108"/>
        <v>0</v>
      </c>
      <c r="AH35" s="475"/>
      <c r="AI35" s="20"/>
    </row>
    <row r="36" spans="1:35" s="22" customFormat="1" ht="47.25" x14ac:dyDescent="0.25">
      <c r="A36" s="534"/>
      <c r="B36" s="497"/>
      <c r="C36" s="61" t="s">
        <v>22</v>
      </c>
      <c r="D36" s="62">
        <f t="shared" si="106"/>
        <v>2.1</v>
      </c>
      <c r="E36" s="62">
        <f>J36+L36+N36+P36+R36+T36+V36+X36+Z36+AB36+AD36</f>
        <v>2.1</v>
      </c>
      <c r="F36" s="62">
        <f>G36</f>
        <v>2.1</v>
      </c>
      <c r="G36" s="62">
        <f>SUM(K36,M36,O36,Q36,S36,U36,W36,Y36,AA36,AC36,AE36,AG36)</f>
        <v>2.1</v>
      </c>
      <c r="H36" s="62">
        <f t="shared" si="11"/>
        <v>100</v>
      </c>
      <c r="I36" s="62">
        <f t="shared" si="12"/>
        <v>100</v>
      </c>
      <c r="J36" s="63">
        <f>J47</f>
        <v>0</v>
      </c>
      <c r="K36" s="63">
        <f t="shared" ref="K36:AG36" si="109">K47</f>
        <v>0</v>
      </c>
      <c r="L36" s="63">
        <f t="shared" si="109"/>
        <v>0</v>
      </c>
      <c r="M36" s="63">
        <f t="shared" si="109"/>
        <v>0</v>
      </c>
      <c r="N36" s="63">
        <f t="shared" si="109"/>
        <v>2.1</v>
      </c>
      <c r="O36" s="63">
        <f t="shared" si="109"/>
        <v>2.1</v>
      </c>
      <c r="P36" s="63">
        <f t="shared" si="109"/>
        <v>0</v>
      </c>
      <c r="Q36" s="63">
        <f t="shared" si="109"/>
        <v>0</v>
      </c>
      <c r="R36" s="63">
        <f t="shared" si="109"/>
        <v>0</v>
      </c>
      <c r="S36" s="63">
        <f t="shared" si="109"/>
        <v>0</v>
      </c>
      <c r="T36" s="63">
        <f t="shared" si="109"/>
        <v>0</v>
      </c>
      <c r="U36" s="63">
        <f t="shared" si="109"/>
        <v>0</v>
      </c>
      <c r="V36" s="63">
        <f t="shared" si="109"/>
        <v>0</v>
      </c>
      <c r="W36" s="63">
        <f t="shared" si="109"/>
        <v>0</v>
      </c>
      <c r="X36" s="63">
        <f t="shared" si="109"/>
        <v>0</v>
      </c>
      <c r="Y36" s="63">
        <f t="shared" si="109"/>
        <v>0</v>
      </c>
      <c r="Z36" s="63">
        <f t="shared" si="109"/>
        <v>0</v>
      </c>
      <c r="AA36" s="63">
        <f t="shared" si="109"/>
        <v>0</v>
      </c>
      <c r="AB36" s="63">
        <f t="shared" si="109"/>
        <v>0</v>
      </c>
      <c r="AC36" s="63">
        <f t="shared" si="109"/>
        <v>0</v>
      </c>
      <c r="AD36" s="63">
        <f t="shared" si="109"/>
        <v>0</v>
      </c>
      <c r="AE36" s="63">
        <f t="shared" si="109"/>
        <v>0</v>
      </c>
      <c r="AF36" s="63">
        <f t="shared" si="109"/>
        <v>0</v>
      </c>
      <c r="AG36" s="63">
        <f t="shared" si="109"/>
        <v>0</v>
      </c>
      <c r="AH36" s="476"/>
      <c r="AI36" s="20"/>
    </row>
    <row r="37" spans="1:35" s="22" customFormat="1" ht="31.5" x14ac:dyDescent="0.25">
      <c r="A37" s="535"/>
      <c r="B37" s="498"/>
      <c r="C37" s="349" t="s">
        <v>21</v>
      </c>
      <c r="D37" s="62">
        <f t="shared" si="106"/>
        <v>1267.27</v>
      </c>
      <c r="E37" s="62">
        <f>J37+L37+N37+P37+R37+T37+V37+X37+Z37+AB37+AD37</f>
        <v>1267.27</v>
      </c>
      <c r="F37" s="62">
        <f>G37</f>
        <v>1267.27</v>
      </c>
      <c r="G37" s="62">
        <f>SUM(K37,M37,O37,Q37,S37,U37,W37,Y37,AA37,AC37,AE37,AG37)</f>
        <v>1267.27</v>
      </c>
      <c r="H37" s="62">
        <f t="shared" ref="H37" si="110">IFERROR(G37/D37*100,0)</f>
        <v>100</v>
      </c>
      <c r="I37" s="62">
        <f t="shared" ref="I37" si="111">IFERROR(G37/E37*100,0)</f>
        <v>100</v>
      </c>
      <c r="J37" s="63">
        <f>J44</f>
        <v>0</v>
      </c>
      <c r="K37" s="63">
        <f t="shared" ref="K37:AG37" si="112">K44</f>
        <v>0</v>
      </c>
      <c r="L37" s="63">
        <f t="shared" si="112"/>
        <v>0</v>
      </c>
      <c r="M37" s="63">
        <f t="shared" si="112"/>
        <v>0</v>
      </c>
      <c r="N37" s="63">
        <f t="shared" si="112"/>
        <v>0</v>
      </c>
      <c r="O37" s="63">
        <f t="shared" si="112"/>
        <v>0</v>
      </c>
      <c r="P37" s="63">
        <f t="shared" si="112"/>
        <v>0</v>
      </c>
      <c r="Q37" s="63">
        <f t="shared" si="112"/>
        <v>0</v>
      </c>
      <c r="R37" s="63">
        <f t="shared" si="112"/>
        <v>0</v>
      </c>
      <c r="S37" s="63">
        <f t="shared" si="112"/>
        <v>0</v>
      </c>
      <c r="T37" s="63">
        <f t="shared" si="112"/>
        <v>0</v>
      </c>
      <c r="U37" s="63">
        <f t="shared" si="112"/>
        <v>0</v>
      </c>
      <c r="V37" s="63">
        <f t="shared" si="112"/>
        <v>0</v>
      </c>
      <c r="W37" s="63">
        <f t="shared" si="112"/>
        <v>0</v>
      </c>
      <c r="X37" s="63">
        <f t="shared" si="112"/>
        <v>0</v>
      </c>
      <c r="Y37" s="63">
        <f t="shared" si="112"/>
        <v>0</v>
      </c>
      <c r="Z37" s="63">
        <f t="shared" si="112"/>
        <v>0</v>
      </c>
      <c r="AA37" s="63">
        <f t="shared" si="112"/>
        <v>0</v>
      </c>
      <c r="AB37" s="63">
        <f t="shared" si="112"/>
        <v>0</v>
      </c>
      <c r="AC37" s="63">
        <f t="shared" si="112"/>
        <v>0</v>
      </c>
      <c r="AD37" s="63">
        <f t="shared" si="112"/>
        <v>1267.27</v>
      </c>
      <c r="AE37" s="63">
        <f t="shared" si="112"/>
        <v>1267.27</v>
      </c>
      <c r="AF37" s="63">
        <f t="shared" si="112"/>
        <v>0</v>
      </c>
      <c r="AG37" s="63">
        <f t="shared" si="112"/>
        <v>0</v>
      </c>
      <c r="AH37" s="348"/>
      <c r="AI37" s="20"/>
    </row>
    <row r="38" spans="1:35" s="22" customFormat="1" ht="35.25" customHeight="1" x14ac:dyDescent="0.25">
      <c r="A38" s="453"/>
      <c r="B38" s="530" t="s">
        <v>382</v>
      </c>
      <c r="C38" s="57" t="s">
        <v>20</v>
      </c>
      <c r="D38" s="58">
        <f t="shared" si="106"/>
        <v>2200</v>
      </c>
      <c r="E38" s="58">
        <f t="shared" ref="E38:G40" si="113">E39</f>
        <v>0</v>
      </c>
      <c r="F38" s="58">
        <f t="shared" si="113"/>
        <v>0</v>
      </c>
      <c r="G38" s="58">
        <f t="shared" si="113"/>
        <v>0</v>
      </c>
      <c r="H38" s="58">
        <f t="shared" ref="H38:H45" si="114">IFERROR(G38/D38*100,0)</f>
        <v>0</v>
      </c>
      <c r="I38" s="58">
        <f t="shared" ref="I38:I45" si="115">IFERROR(G38/E38*100,0)</f>
        <v>0</v>
      </c>
      <c r="J38" s="59">
        <f>J39</f>
        <v>0</v>
      </c>
      <c r="K38" s="59">
        <f t="shared" ref="K38:AG42" si="116">K39</f>
        <v>0</v>
      </c>
      <c r="L38" s="59">
        <f t="shared" si="116"/>
        <v>0</v>
      </c>
      <c r="M38" s="59">
        <f t="shared" si="116"/>
        <v>0</v>
      </c>
      <c r="N38" s="59">
        <f t="shared" si="116"/>
        <v>0</v>
      </c>
      <c r="O38" s="59">
        <f t="shared" si="116"/>
        <v>0</v>
      </c>
      <c r="P38" s="59">
        <f t="shared" si="116"/>
        <v>0</v>
      </c>
      <c r="Q38" s="59">
        <f t="shared" si="116"/>
        <v>0</v>
      </c>
      <c r="R38" s="59">
        <f t="shared" si="116"/>
        <v>0</v>
      </c>
      <c r="S38" s="59">
        <f t="shared" si="116"/>
        <v>0</v>
      </c>
      <c r="T38" s="59">
        <f t="shared" si="116"/>
        <v>0</v>
      </c>
      <c r="U38" s="59">
        <f t="shared" si="116"/>
        <v>0</v>
      </c>
      <c r="V38" s="59">
        <f t="shared" si="116"/>
        <v>0</v>
      </c>
      <c r="W38" s="59">
        <f t="shared" si="116"/>
        <v>0</v>
      </c>
      <c r="X38" s="59">
        <f t="shared" si="116"/>
        <v>0</v>
      </c>
      <c r="Y38" s="59">
        <f t="shared" si="116"/>
        <v>0</v>
      </c>
      <c r="Z38" s="59">
        <f t="shared" si="116"/>
        <v>0</v>
      </c>
      <c r="AA38" s="59">
        <f t="shared" si="116"/>
        <v>0</v>
      </c>
      <c r="AB38" s="59">
        <f t="shared" si="116"/>
        <v>0</v>
      </c>
      <c r="AC38" s="59">
        <f t="shared" si="116"/>
        <v>0</v>
      </c>
      <c r="AD38" s="59">
        <f t="shared" si="116"/>
        <v>0</v>
      </c>
      <c r="AE38" s="59">
        <f t="shared" si="116"/>
        <v>0</v>
      </c>
      <c r="AF38" s="59">
        <f t="shared" si="116"/>
        <v>2200</v>
      </c>
      <c r="AG38" s="59">
        <f t="shared" si="116"/>
        <v>0</v>
      </c>
      <c r="AH38" s="429" t="s">
        <v>436</v>
      </c>
      <c r="AI38" s="20"/>
    </row>
    <row r="39" spans="1:35" s="22" customFormat="1" ht="51" customHeight="1" x14ac:dyDescent="0.25">
      <c r="A39" s="424"/>
      <c r="B39" s="531"/>
      <c r="C39" s="61" t="s">
        <v>52</v>
      </c>
      <c r="D39" s="62">
        <f t="shared" si="106"/>
        <v>2200</v>
      </c>
      <c r="E39" s="62">
        <f>J39+L39+N39+P39+R39+T39+V39+X39+Z39+AB39+AD39</f>
        <v>0</v>
      </c>
      <c r="F39" s="62">
        <f>G39</f>
        <v>0</v>
      </c>
      <c r="G39" s="62">
        <f>SUM(K39,M39,O39,Q39,S39,U39,W39,Y39,AA39,AC39,AE39,AG39)</f>
        <v>0</v>
      </c>
      <c r="H39" s="62">
        <f t="shared" si="114"/>
        <v>0</v>
      </c>
      <c r="I39" s="62">
        <f t="shared" si="115"/>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30"/>
      <c r="AI39" s="20"/>
    </row>
    <row r="40" spans="1:35" s="22" customFormat="1" ht="40.5" customHeight="1" x14ac:dyDescent="0.25">
      <c r="A40" s="453"/>
      <c r="B40" s="530" t="s">
        <v>383</v>
      </c>
      <c r="C40" s="57" t="s">
        <v>20</v>
      </c>
      <c r="D40" s="58">
        <f t="shared" si="106"/>
        <v>2200</v>
      </c>
      <c r="E40" s="58">
        <f t="shared" si="113"/>
        <v>0</v>
      </c>
      <c r="F40" s="58">
        <f t="shared" si="113"/>
        <v>0</v>
      </c>
      <c r="G40" s="58">
        <f t="shared" si="113"/>
        <v>0</v>
      </c>
      <c r="H40" s="58">
        <f t="shared" ref="H40:H44" si="117">IFERROR(G40/D40*100,0)</f>
        <v>0</v>
      </c>
      <c r="I40" s="58">
        <f t="shared" ref="I40:I44" si="118">IFERROR(G40/E40*100,0)</f>
        <v>0</v>
      </c>
      <c r="J40" s="59">
        <f>J41</f>
        <v>0</v>
      </c>
      <c r="K40" s="59">
        <f t="shared" si="116"/>
        <v>0</v>
      </c>
      <c r="L40" s="59">
        <f t="shared" si="116"/>
        <v>0</v>
      </c>
      <c r="M40" s="59">
        <f t="shared" si="116"/>
        <v>0</v>
      </c>
      <c r="N40" s="59">
        <f t="shared" si="116"/>
        <v>0</v>
      </c>
      <c r="O40" s="59">
        <f t="shared" si="116"/>
        <v>0</v>
      </c>
      <c r="P40" s="59">
        <f t="shared" si="116"/>
        <v>0</v>
      </c>
      <c r="Q40" s="59">
        <f t="shared" si="116"/>
        <v>0</v>
      </c>
      <c r="R40" s="59">
        <f t="shared" si="116"/>
        <v>0</v>
      </c>
      <c r="S40" s="59">
        <f t="shared" si="116"/>
        <v>0</v>
      </c>
      <c r="T40" s="59">
        <f t="shared" si="116"/>
        <v>0</v>
      </c>
      <c r="U40" s="59">
        <f t="shared" si="116"/>
        <v>0</v>
      </c>
      <c r="V40" s="59">
        <f t="shared" si="116"/>
        <v>0</v>
      </c>
      <c r="W40" s="59">
        <f t="shared" si="116"/>
        <v>0</v>
      </c>
      <c r="X40" s="59">
        <f t="shared" si="116"/>
        <v>0</v>
      </c>
      <c r="Y40" s="59">
        <f t="shared" si="116"/>
        <v>0</v>
      </c>
      <c r="Z40" s="59">
        <f t="shared" si="116"/>
        <v>0</v>
      </c>
      <c r="AA40" s="59">
        <f t="shared" si="116"/>
        <v>0</v>
      </c>
      <c r="AB40" s="59">
        <f t="shared" si="116"/>
        <v>0</v>
      </c>
      <c r="AC40" s="59">
        <f t="shared" si="116"/>
        <v>0</v>
      </c>
      <c r="AD40" s="59">
        <f t="shared" si="116"/>
        <v>0</v>
      </c>
      <c r="AE40" s="59">
        <f t="shared" si="116"/>
        <v>0</v>
      </c>
      <c r="AF40" s="59">
        <f t="shared" si="116"/>
        <v>2200</v>
      </c>
      <c r="AG40" s="59">
        <f t="shared" si="116"/>
        <v>0</v>
      </c>
      <c r="AH40" s="430"/>
      <c r="AI40" s="20"/>
    </row>
    <row r="41" spans="1:35" s="22" customFormat="1" ht="45" customHeight="1" x14ac:dyDescent="0.25">
      <c r="A41" s="499"/>
      <c r="B41" s="532"/>
      <c r="C41" s="349" t="s">
        <v>52</v>
      </c>
      <c r="D41" s="62">
        <f t="shared" si="106"/>
        <v>2200</v>
      </c>
      <c r="E41" s="62">
        <f>J41+L41+N41+P41+R41+T41+V41+X41+Z41+AB41+AD41</f>
        <v>0</v>
      </c>
      <c r="F41" s="62">
        <f>G41</f>
        <v>0</v>
      </c>
      <c r="G41" s="62">
        <f>SUM(K41,M41,O41,Q41,S41,U41,W41,Y41,AA41,AC41,AE41,AG41)</f>
        <v>0</v>
      </c>
      <c r="H41" s="62">
        <f t="shared" si="117"/>
        <v>0</v>
      </c>
      <c r="I41" s="62">
        <f t="shared" si="118"/>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31"/>
      <c r="AI41" s="20"/>
    </row>
    <row r="42" spans="1:35" s="22" customFormat="1" ht="21" x14ac:dyDescent="0.25">
      <c r="A42" s="453"/>
      <c r="B42" s="530" t="s">
        <v>384</v>
      </c>
      <c r="C42" s="57" t="s">
        <v>20</v>
      </c>
      <c r="D42" s="58">
        <f t="shared" si="106"/>
        <v>5414.6900000000005</v>
      </c>
      <c r="E42" s="58">
        <f>E43+E44</f>
        <v>5414.6900000000005</v>
      </c>
      <c r="F42" s="58">
        <f>F43+F44</f>
        <v>5414.6900000000005</v>
      </c>
      <c r="G42" s="58">
        <f>G43+G44</f>
        <v>5414.6900000000005</v>
      </c>
      <c r="H42" s="58">
        <f>IFERROR(G42/D42*100,0)</f>
        <v>100</v>
      </c>
      <c r="I42" s="58">
        <f t="shared" si="118"/>
        <v>100</v>
      </c>
      <c r="J42" s="59">
        <f>J43+J44</f>
        <v>0</v>
      </c>
      <c r="K42" s="59">
        <f t="shared" ref="K42:AF42" si="119">K43+K44</f>
        <v>0</v>
      </c>
      <c r="L42" s="59">
        <f t="shared" si="119"/>
        <v>0</v>
      </c>
      <c r="M42" s="59">
        <f t="shared" si="119"/>
        <v>0</v>
      </c>
      <c r="N42" s="59">
        <f t="shared" si="119"/>
        <v>0</v>
      </c>
      <c r="O42" s="59">
        <f t="shared" si="119"/>
        <v>0</v>
      </c>
      <c r="P42" s="59">
        <f t="shared" si="119"/>
        <v>0</v>
      </c>
      <c r="Q42" s="59">
        <f t="shared" si="119"/>
        <v>0</v>
      </c>
      <c r="R42" s="59">
        <f t="shared" si="119"/>
        <v>0</v>
      </c>
      <c r="S42" s="59">
        <f t="shared" si="119"/>
        <v>0</v>
      </c>
      <c r="T42" s="59">
        <f t="shared" si="119"/>
        <v>0</v>
      </c>
      <c r="U42" s="59">
        <f t="shared" si="119"/>
        <v>0</v>
      </c>
      <c r="V42" s="59">
        <f t="shared" si="119"/>
        <v>0</v>
      </c>
      <c r="W42" s="59">
        <f t="shared" si="119"/>
        <v>0</v>
      </c>
      <c r="X42" s="59">
        <f t="shared" si="119"/>
        <v>0</v>
      </c>
      <c r="Y42" s="59">
        <f t="shared" si="119"/>
        <v>0</v>
      </c>
      <c r="Z42" s="59">
        <f t="shared" si="119"/>
        <v>0</v>
      </c>
      <c r="AA42" s="59">
        <f t="shared" si="119"/>
        <v>0</v>
      </c>
      <c r="AB42" s="59">
        <f t="shared" si="119"/>
        <v>0</v>
      </c>
      <c r="AC42" s="59">
        <f t="shared" si="119"/>
        <v>0</v>
      </c>
      <c r="AD42" s="59">
        <f t="shared" si="119"/>
        <v>5414.6900000000005</v>
      </c>
      <c r="AE42" s="59">
        <f t="shared" si="119"/>
        <v>5414.6900000000005</v>
      </c>
      <c r="AF42" s="59">
        <f t="shared" si="119"/>
        <v>0</v>
      </c>
      <c r="AG42" s="59">
        <f t="shared" si="116"/>
        <v>0</v>
      </c>
      <c r="AH42" s="429" t="s">
        <v>437</v>
      </c>
      <c r="AI42" s="20"/>
    </row>
    <row r="43" spans="1:35" s="22" customFormat="1" ht="31.5" x14ac:dyDescent="0.25">
      <c r="A43" s="454"/>
      <c r="B43" s="531"/>
      <c r="C43" s="349" t="s">
        <v>52</v>
      </c>
      <c r="D43" s="62">
        <f t="shared" si="106"/>
        <v>4147.42</v>
      </c>
      <c r="E43" s="62">
        <f>J43+L43+N43+P43+R43+T43+V43+X43+Z43+AB43+AD43</f>
        <v>4147.42</v>
      </c>
      <c r="F43" s="62">
        <f>G43</f>
        <v>4147.42</v>
      </c>
      <c r="G43" s="62">
        <f>SUM(K43,M43,O43,Q43,S43,U43,W43,Y43,AA43,AC43,AE43,AG43)</f>
        <v>4147.42</v>
      </c>
      <c r="H43" s="62">
        <f t="shared" si="117"/>
        <v>100</v>
      </c>
      <c r="I43" s="62">
        <f t="shared" si="118"/>
        <v>100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4147.42</v>
      </c>
      <c r="AE43" s="63">
        <v>4147.42</v>
      </c>
      <c r="AF43" s="63">
        <v>0</v>
      </c>
      <c r="AG43" s="63">
        <v>0</v>
      </c>
      <c r="AH43" s="430"/>
      <c r="AI43" s="20"/>
    </row>
    <row r="44" spans="1:35" s="22" customFormat="1" ht="31.5" x14ac:dyDescent="0.25">
      <c r="A44" s="499"/>
      <c r="B44" s="532"/>
      <c r="C44" s="349" t="s">
        <v>21</v>
      </c>
      <c r="D44" s="62">
        <f t="shared" si="106"/>
        <v>1267.27</v>
      </c>
      <c r="E44" s="62">
        <f>J44+L44+N44+P44+R44+T44+V44+X44+Z44+AB44+AD44</f>
        <v>1267.27</v>
      </c>
      <c r="F44" s="62">
        <f>G44</f>
        <v>1267.27</v>
      </c>
      <c r="G44" s="62">
        <f>SUM(K44,M44,O44,Q44,S44,U44,W44,Y44,AA44,AC44,AE44,AG44)</f>
        <v>1267.27</v>
      </c>
      <c r="H44" s="62">
        <f t="shared" si="117"/>
        <v>100</v>
      </c>
      <c r="I44" s="62">
        <f t="shared" si="118"/>
        <v>100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1267.27</v>
      </c>
      <c r="AE44" s="63">
        <v>1267.27</v>
      </c>
      <c r="AF44" s="63">
        <v>0</v>
      </c>
      <c r="AG44" s="63"/>
      <c r="AH44" s="431"/>
      <c r="AI44" s="20"/>
    </row>
    <row r="45" spans="1:35" s="18" customFormat="1" ht="21" x14ac:dyDescent="0.25">
      <c r="A45" s="423"/>
      <c r="B45" s="530" t="s">
        <v>65</v>
      </c>
      <c r="C45" s="57" t="s">
        <v>20</v>
      </c>
      <c r="D45" s="58">
        <f>D47+D46</f>
        <v>2.1</v>
      </c>
      <c r="E45" s="58">
        <f t="shared" ref="E45" si="120">E47+E46</f>
        <v>2.1</v>
      </c>
      <c r="F45" s="58">
        <f t="shared" ref="F45" si="121">F47+F46</f>
        <v>2.1</v>
      </c>
      <c r="G45" s="58">
        <f t="shared" ref="G45" si="122">G47+G46</f>
        <v>2.1</v>
      </c>
      <c r="H45" s="58">
        <f t="shared" si="114"/>
        <v>100</v>
      </c>
      <c r="I45" s="58">
        <f t="shared" si="115"/>
        <v>100</v>
      </c>
      <c r="J45" s="59">
        <f>J47+J46</f>
        <v>0</v>
      </c>
      <c r="K45" s="59">
        <f>K47+K46</f>
        <v>0</v>
      </c>
      <c r="L45" s="59">
        <f t="shared" ref="L45" si="123">L47+L46</f>
        <v>0</v>
      </c>
      <c r="M45" s="59">
        <f t="shared" ref="M45" si="124">M47+M46</f>
        <v>0</v>
      </c>
      <c r="N45" s="59">
        <f t="shared" ref="N45" si="125">N47+N46</f>
        <v>2.1</v>
      </c>
      <c r="O45" s="59">
        <f t="shared" ref="O45" si="126">O47+O46</f>
        <v>2.1</v>
      </c>
      <c r="P45" s="59">
        <f t="shared" ref="P45" si="127">P47+P46</f>
        <v>0</v>
      </c>
      <c r="Q45" s="59">
        <f t="shared" ref="Q45" si="128">Q47+Q46</f>
        <v>0</v>
      </c>
      <c r="R45" s="59">
        <f t="shared" ref="R45" si="129">R47+R46</f>
        <v>0</v>
      </c>
      <c r="S45" s="59">
        <f t="shared" ref="S45" si="130">S47+S46</f>
        <v>0</v>
      </c>
      <c r="T45" s="59">
        <f t="shared" ref="T45" si="131">T47+T46</f>
        <v>0</v>
      </c>
      <c r="U45" s="59">
        <f t="shared" ref="U45" si="132">U47+U46</f>
        <v>0</v>
      </c>
      <c r="V45" s="59">
        <f t="shared" ref="V45" si="133">V47+V46</f>
        <v>0</v>
      </c>
      <c r="W45" s="59">
        <f t="shared" ref="W45" si="134">W47+W46</f>
        <v>0</v>
      </c>
      <c r="X45" s="59">
        <f t="shared" ref="X45" si="135">X47+X46</f>
        <v>0</v>
      </c>
      <c r="Y45" s="59">
        <f t="shared" ref="Y45" si="136">Y47+Y46</f>
        <v>0</v>
      </c>
      <c r="Z45" s="59">
        <f t="shared" ref="Z45" si="137">Z47+Z46</f>
        <v>0</v>
      </c>
      <c r="AA45" s="59">
        <f t="shared" ref="AA45" si="138">AA47+AA46</f>
        <v>0</v>
      </c>
      <c r="AB45" s="59">
        <f t="shared" ref="AB45" si="139">AB47+AB46</f>
        <v>0</v>
      </c>
      <c r="AC45" s="59">
        <f t="shared" ref="AC45" si="140">AC47+AC46</f>
        <v>0</v>
      </c>
      <c r="AD45" s="59">
        <f t="shared" ref="AD45" si="141">AD47+AD46</f>
        <v>0</v>
      </c>
      <c r="AE45" s="59">
        <f t="shared" ref="AE45" si="142">AE47+AE46</f>
        <v>0</v>
      </c>
      <c r="AF45" s="59">
        <f t="shared" ref="AF45" si="143">AF47+AF46</f>
        <v>0</v>
      </c>
      <c r="AG45" s="59">
        <f t="shared" ref="AG45" si="144">AG47+AG46</f>
        <v>0</v>
      </c>
      <c r="AH45" s="474" t="s">
        <v>385</v>
      </c>
      <c r="AI45" s="19"/>
    </row>
    <row r="46" spans="1:35" s="18" customFormat="1" ht="31.5" x14ac:dyDescent="0.25">
      <c r="A46" s="424"/>
      <c r="B46" s="531"/>
      <c r="C46" s="61" t="s">
        <v>52</v>
      </c>
      <c r="D46" s="62">
        <f>SUM(J46,L46,N46,P46,R46,T46,V46,X46,Z46,AB46,AD46,AF46)</f>
        <v>0</v>
      </c>
      <c r="E46" s="62">
        <f>J46+L46+N46+P46+R46+T46+V46+X46+Z46+AB46+AD46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75"/>
      <c r="AI46" s="19"/>
    </row>
    <row r="47" spans="1:35" s="18" customFormat="1" ht="47.25" x14ac:dyDescent="0.25">
      <c r="A47" s="425"/>
      <c r="B47" s="531"/>
      <c r="C47" s="61" t="s">
        <v>22</v>
      </c>
      <c r="D47" s="62">
        <f>SUM(J47,L47,N47,P47,R47,T47,V47,X47,Z47,AB47,AD47,AF47)</f>
        <v>2.1</v>
      </c>
      <c r="E47" s="62">
        <f>J47+L47+N47+P47+R47+T47+V47+X47+Z47+AB47+AD47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76"/>
      <c r="AI47" s="19"/>
    </row>
    <row r="48" spans="1:35" s="28" customFormat="1" ht="21" customHeight="1" x14ac:dyDescent="0.25">
      <c r="A48" s="89"/>
      <c r="B48" s="502" t="s">
        <v>32</v>
      </c>
      <c r="C48" s="503"/>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4"/>
      <c r="AH48" s="43"/>
      <c r="AI48" s="27"/>
    </row>
    <row r="49" spans="1:35" s="30" customFormat="1" ht="27" customHeight="1" x14ac:dyDescent="0.25">
      <c r="A49" s="493" t="s">
        <v>68</v>
      </c>
      <c r="B49" s="496" t="s">
        <v>34</v>
      </c>
      <c r="C49" s="81" t="s">
        <v>20</v>
      </c>
      <c r="D49" s="82">
        <f>D50</f>
        <v>29341.91</v>
      </c>
      <c r="E49" s="82">
        <f t="shared" ref="E49:G49" si="145">E50</f>
        <v>27674.75</v>
      </c>
      <c r="F49" s="82">
        <f t="shared" si="145"/>
        <v>25341.885999999999</v>
      </c>
      <c r="G49" s="82">
        <f t="shared" si="145"/>
        <v>25341.885999999999</v>
      </c>
      <c r="H49" s="82">
        <f t="shared" ref="H49:H58" si="146">IFERROR(G49/D49*100,0)</f>
        <v>86.367540490717872</v>
      </c>
      <c r="I49" s="82">
        <f t="shared" ref="I49:I58" si="147">IFERROR(G49/E49*100,0)</f>
        <v>91.570424303742584</v>
      </c>
      <c r="J49" s="83">
        <f t="shared" ref="J49:AG49" si="148">SUM(J50:J50)</f>
        <v>4244.8339999999998</v>
      </c>
      <c r="K49" s="83">
        <f t="shared" si="148"/>
        <v>1885.85</v>
      </c>
      <c r="L49" s="83">
        <f t="shared" si="148"/>
        <v>2510.96</v>
      </c>
      <c r="M49" s="83">
        <f t="shared" si="148"/>
        <v>2741.24</v>
      </c>
      <c r="N49" s="83">
        <f t="shared" si="148"/>
        <v>1590.85</v>
      </c>
      <c r="O49" s="83">
        <f t="shared" si="148"/>
        <v>1950.12</v>
      </c>
      <c r="P49" s="83">
        <f t="shared" si="148"/>
        <v>3069.6410000000001</v>
      </c>
      <c r="Q49" s="83">
        <f t="shared" si="148"/>
        <v>2079.75</v>
      </c>
      <c r="R49" s="83">
        <f t="shared" si="148"/>
        <v>2283.9940000000001</v>
      </c>
      <c r="S49" s="83">
        <f t="shared" si="148"/>
        <v>2539.58</v>
      </c>
      <c r="T49" s="83">
        <f t="shared" si="148"/>
        <v>1683.15</v>
      </c>
      <c r="U49" s="83">
        <f t="shared" si="148"/>
        <v>2597.2660000000001</v>
      </c>
      <c r="V49" s="83">
        <f t="shared" si="148"/>
        <v>3039.6460000000002</v>
      </c>
      <c r="W49" s="83">
        <f t="shared" si="148"/>
        <v>3129.89</v>
      </c>
      <c r="X49" s="83">
        <f t="shared" si="148"/>
        <v>2294.9940000000001</v>
      </c>
      <c r="Y49" s="83">
        <f t="shared" si="148"/>
        <v>1686.0900000000001</v>
      </c>
      <c r="Z49" s="83">
        <f t="shared" si="148"/>
        <v>2042.8200000000002</v>
      </c>
      <c r="AA49" s="83">
        <f t="shared" si="148"/>
        <v>2603.96</v>
      </c>
      <c r="AB49" s="83">
        <f t="shared" si="148"/>
        <v>2529.951</v>
      </c>
      <c r="AC49" s="83">
        <f t="shared" si="148"/>
        <v>2236.5700000000002</v>
      </c>
      <c r="AD49" s="83">
        <f t="shared" si="148"/>
        <v>2383.91</v>
      </c>
      <c r="AE49" s="83">
        <f t="shared" si="148"/>
        <v>1891.57</v>
      </c>
      <c r="AF49" s="83">
        <f t="shared" si="148"/>
        <v>1667.16</v>
      </c>
      <c r="AG49" s="83">
        <f t="shared" si="148"/>
        <v>0</v>
      </c>
      <c r="AH49" s="465"/>
      <c r="AI49" s="29"/>
    </row>
    <row r="50" spans="1:35" s="31" customFormat="1" ht="72" customHeight="1" x14ac:dyDescent="0.25">
      <c r="A50" s="495"/>
      <c r="B50" s="498"/>
      <c r="C50" s="73" t="s">
        <v>21</v>
      </c>
      <c r="D50" s="74">
        <f>SUM(J50,L50,N50,P50,R50,T50,V50,X50,Z50,AB50,AD50,AF50)</f>
        <v>29341.91</v>
      </c>
      <c r="E50" s="74">
        <f>J50+L50+N50+P50+R50+T50+V50+X50+Z50+AB50+AD50</f>
        <v>27674.75</v>
      </c>
      <c r="F50" s="74">
        <f>G50</f>
        <v>25341.885999999999</v>
      </c>
      <c r="G50" s="74">
        <f>SUM(K50,M50,O50,Q50,S50,U50,W50,Y50,AA50,AC50,AE50,AG50)</f>
        <v>25341.885999999999</v>
      </c>
      <c r="H50" s="74">
        <f t="shared" si="146"/>
        <v>86.367540490717872</v>
      </c>
      <c r="I50" s="74">
        <f>IFERROR(G50/E50*100,0)</f>
        <v>91.570424303742584</v>
      </c>
      <c r="J50" s="67">
        <f>J52+J54</f>
        <v>4244.8339999999998</v>
      </c>
      <c r="K50" s="67">
        <f t="shared" ref="K50:AG50" si="149">K52+K54</f>
        <v>1885.85</v>
      </c>
      <c r="L50" s="67">
        <f t="shared" si="149"/>
        <v>2510.96</v>
      </c>
      <c r="M50" s="67">
        <f t="shared" si="149"/>
        <v>2741.24</v>
      </c>
      <c r="N50" s="67">
        <f t="shared" si="149"/>
        <v>1590.85</v>
      </c>
      <c r="O50" s="67">
        <f t="shared" si="149"/>
        <v>1950.12</v>
      </c>
      <c r="P50" s="67">
        <f t="shared" si="149"/>
        <v>3069.6410000000001</v>
      </c>
      <c r="Q50" s="67">
        <f t="shared" si="149"/>
        <v>2079.75</v>
      </c>
      <c r="R50" s="67">
        <f t="shared" si="149"/>
        <v>2283.9940000000001</v>
      </c>
      <c r="S50" s="67">
        <f t="shared" si="149"/>
        <v>2539.58</v>
      </c>
      <c r="T50" s="67">
        <f t="shared" si="149"/>
        <v>1683.15</v>
      </c>
      <c r="U50" s="67">
        <f t="shared" si="149"/>
        <v>2597.2660000000001</v>
      </c>
      <c r="V50" s="67">
        <f t="shared" si="149"/>
        <v>3039.6460000000002</v>
      </c>
      <c r="W50" s="67">
        <f t="shared" si="149"/>
        <v>3129.89</v>
      </c>
      <c r="X50" s="67">
        <f t="shared" si="149"/>
        <v>2294.9940000000001</v>
      </c>
      <c r="Y50" s="67">
        <f t="shared" si="149"/>
        <v>1686.0900000000001</v>
      </c>
      <c r="Z50" s="67">
        <f t="shared" si="149"/>
        <v>2042.8200000000002</v>
      </c>
      <c r="AA50" s="67">
        <f t="shared" si="149"/>
        <v>2603.96</v>
      </c>
      <c r="AB50" s="67">
        <f t="shared" si="149"/>
        <v>2529.951</v>
      </c>
      <c r="AC50" s="67">
        <f t="shared" si="149"/>
        <v>2236.5700000000002</v>
      </c>
      <c r="AD50" s="67">
        <f t="shared" si="149"/>
        <v>2383.91</v>
      </c>
      <c r="AE50" s="67">
        <f t="shared" si="149"/>
        <v>1891.57</v>
      </c>
      <c r="AF50" s="67">
        <f t="shared" si="149"/>
        <v>1667.16</v>
      </c>
      <c r="AG50" s="67">
        <f t="shared" si="149"/>
        <v>0</v>
      </c>
      <c r="AH50" s="467"/>
      <c r="AI50" s="29"/>
    </row>
    <row r="51" spans="1:35" s="10" customFormat="1" ht="18.75" customHeight="1" x14ac:dyDescent="0.25">
      <c r="A51" s="412"/>
      <c r="B51" s="530" t="s">
        <v>69</v>
      </c>
      <c r="C51" s="69" t="s">
        <v>20</v>
      </c>
      <c r="D51" s="70">
        <f>D52</f>
        <v>10302.025000000001</v>
      </c>
      <c r="E51" s="70">
        <f t="shared" ref="E51" si="150">E52</f>
        <v>9594.8350000000009</v>
      </c>
      <c r="F51" s="70">
        <f t="shared" ref="F51" si="151">F52</f>
        <v>8015.1760000000013</v>
      </c>
      <c r="G51" s="70">
        <f t="shared" ref="G51" si="152">G52</f>
        <v>8015.1760000000013</v>
      </c>
      <c r="H51" s="70">
        <f t="shared" si="146"/>
        <v>77.801946704652721</v>
      </c>
      <c r="I51" s="70">
        <f t="shared" si="147"/>
        <v>83.536360969208957</v>
      </c>
      <c r="J51" s="71">
        <f t="shared" ref="J51:AG51" si="153">SUM(J52:J52)</f>
        <v>1487.683</v>
      </c>
      <c r="K51" s="71">
        <f t="shared" si="153"/>
        <v>585.05999999999995</v>
      </c>
      <c r="L51" s="71">
        <f t="shared" si="153"/>
        <v>878.49800000000005</v>
      </c>
      <c r="M51" s="71">
        <f t="shared" si="153"/>
        <v>916.68000000000006</v>
      </c>
      <c r="N51" s="71">
        <f t="shared" si="153"/>
        <v>590.38</v>
      </c>
      <c r="O51" s="71">
        <f t="shared" si="153"/>
        <v>565.49</v>
      </c>
      <c r="P51" s="71">
        <f t="shared" si="153"/>
        <v>1097.04</v>
      </c>
      <c r="Q51" s="71">
        <f t="shared" si="153"/>
        <v>815.7</v>
      </c>
      <c r="R51" s="71">
        <f t="shared" si="153"/>
        <v>799.24400000000003</v>
      </c>
      <c r="S51" s="71">
        <f t="shared" si="153"/>
        <v>632.48</v>
      </c>
      <c r="T51" s="71">
        <f t="shared" si="153"/>
        <v>590.38</v>
      </c>
      <c r="U51" s="71">
        <f t="shared" si="153"/>
        <v>869.41600000000005</v>
      </c>
      <c r="V51" s="71">
        <f t="shared" si="153"/>
        <v>1067.0450000000001</v>
      </c>
      <c r="W51" s="71">
        <f t="shared" si="153"/>
        <v>1040.23</v>
      </c>
      <c r="X51" s="71">
        <f t="shared" si="153"/>
        <v>799.24400000000003</v>
      </c>
      <c r="Y51" s="71">
        <f t="shared" si="153"/>
        <v>505.92</v>
      </c>
      <c r="Z51" s="71">
        <f t="shared" si="153"/>
        <v>590.38</v>
      </c>
      <c r="AA51" s="71">
        <f t="shared" si="153"/>
        <v>794.89</v>
      </c>
      <c r="AB51" s="71">
        <f t="shared" si="153"/>
        <v>875.51099999999997</v>
      </c>
      <c r="AC51" s="71">
        <f t="shared" si="153"/>
        <v>684.6</v>
      </c>
      <c r="AD51" s="71">
        <f t="shared" si="153"/>
        <v>819.43</v>
      </c>
      <c r="AE51" s="71">
        <f t="shared" si="153"/>
        <v>604.71</v>
      </c>
      <c r="AF51" s="71">
        <f t="shared" si="153"/>
        <v>707.19</v>
      </c>
      <c r="AG51" s="71">
        <f t="shared" si="153"/>
        <v>0</v>
      </c>
      <c r="AH51" s="418" t="s">
        <v>439</v>
      </c>
    </row>
    <row r="52" spans="1:35" s="10" customFormat="1" ht="31.5" x14ac:dyDescent="0.25">
      <c r="A52" s="413"/>
      <c r="B52" s="531"/>
      <c r="C52" s="73" t="s">
        <v>21</v>
      </c>
      <c r="D52" s="74">
        <f>SUM(J52,L52,N52,P52,R52,T52,V52,X52,Z52,AB52,AD52,AF52)</f>
        <v>10302.025000000001</v>
      </c>
      <c r="E52" s="74">
        <f>J52+L52+N52+P52+R52+T52+V52+X52+Z52+AB52+AD52</f>
        <v>9594.8350000000009</v>
      </c>
      <c r="F52" s="74">
        <f>G52</f>
        <v>8015.1760000000013</v>
      </c>
      <c r="G52" s="74">
        <f>SUM(K52,M52,O52,Q52,S52,U52,W52,Y52,AA52,AC52,AE52,AG52)</f>
        <v>8015.1760000000013</v>
      </c>
      <c r="H52" s="74">
        <f t="shared" si="146"/>
        <v>77.801946704652721</v>
      </c>
      <c r="I52" s="74">
        <f t="shared" si="147"/>
        <v>83.536360969208957</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3">
        <v>875.51099999999997</v>
      </c>
      <c r="AC52" s="67">
        <v>684.6</v>
      </c>
      <c r="AD52" s="67">
        <v>819.43</v>
      </c>
      <c r="AE52" s="67">
        <v>604.71</v>
      </c>
      <c r="AF52" s="67">
        <v>707.19</v>
      </c>
      <c r="AG52" s="67">
        <v>0</v>
      </c>
      <c r="AH52" s="419"/>
    </row>
    <row r="53" spans="1:35" s="10" customFormat="1" ht="15.75" x14ac:dyDescent="0.25">
      <c r="A53" s="412"/>
      <c r="B53" s="529" t="s">
        <v>70</v>
      </c>
      <c r="C53" s="69" t="s">
        <v>20</v>
      </c>
      <c r="D53" s="70">
        <f>D54</f>
        <v>19039.885000000002</v>
      </c>
      <c r="E53" s="70">
        <f t="shared" ref="E53" si="154">E54</f>
        <v>18079.915000000001</v>
      </c>
      <c r="F53" s="70">
        <f t="shared" ref="F53" si="155">F54</f>
        <v>17326.71</v>
      </c>
      <c r="G53" s="70">
        <f t="shared" ref="G53" si="156">G54</f>
        <v>17326.71</v>
      </c>
      <c r="H53" s="70">
        <f t="shared" si="146"/>
        <v>91.002177796767143</v>
      </c>
      <c r="I53" s="70">
        <f t="shared" si="147"/>
        <v>95.834023555973573</v>
      </c>
      <c r="J53" s="71">
        <f t="shared" ref="J53:AG53" si="157">SUM(J54:J54)</f>
        <v>2757.1509999999998</v>
      </c>
      <c r="K53" s="71">
        <f t="shared" si="157"/>
        <v>1300.79</v>
      </c>
      <c r="L53" s="71">
        <f t="shared" si="157"/>
        <v>1632.462</v>
      </c>
      <c r="M53" s="71">
        <f t="shared" si="157"/>
        <v>1824.56</v>
      </c>
      <c r="N53" s="71">
        <f t="shared" si="157"/>
        <v>1000.47</v>
      </c>
      <c r="O53" s="71">
        <f t="shared" si="157"/>
        <v>1384.6299999999999</v>
      </c>
      <c r="P53" s="71">
        <f t="shared" si="157"/>
        <v>1972.6010000000001</v>
      </c>
      <c r="Q53" s="71">
        <f t="shared" si="157"/>
        <v>1264.05</v>
      </c>
      <c r="R53" s="71">
        <f t="shared" si="157"/>
        <v>1484.75</v>
      </c>
      <c r="S53" s="71">
        <f t="shared" si="157"/>
        <v>1907.1</v>
      </c>
      <c r="T53" s="71">
        <f t="shared" si="157"/>
        <v>1092.77</v>
      </c>
      <c r="U53" s="71">
        <f t="shared" si="157"/>
        <v>1727.85</v>
      </c>
      <c r="V53" s="71">
        <f t="shared" si="157"/>
        <v>1972.6010000000001</v>
      </c>
      <c r="W53" s="71">
        <f t="shared" si="157"/>
        <v>2089.66</v>
      </c>
      <c r="X53" s="71">
        <f t="shared" si="157"/>
        <v>1495.75</v>
      </c>
      <c r="Y53" s="71">
        <f t="shared" si="157"/>
        <v>1180.17</v>
      </c>
      <c r="Z53" s="71">
        <f t="shared" si="157"/>
        <v>1452.44</v>
      </c>
      <c r="AA53" s="71">
        <f t="shared" si="157"/>
        <v>1809.07</v>
      </c>
      <c r="AB53" s="71">
        <f t="shared" si="157"/>
        <v>1654.44</v>
      </c>
      <c r="AC53" s="71">
        <f t="shared" si="157"/>
        <v>1551.97</v>
      </c>
      <c r="AD53" s="71">
        <f t="shared" si="157"/>
        <v>1564.48</v>
      </c>
      <c r="AE53" s="71">
        <f t="shared" si="157"/>
        <v>1286.8599999999999</v>
      </c>
      <c r="AF53" s="71">
        <f t="shared" si="157"/>
        <v>959.97</v>
      </c>
      <c r="AG53" s="71">
        <f t="shared" si="157"/>
        <v>0</v>
      </c>
      <c r="AH53" s="418" t="s">
        <v>438</v>
      </c>
    </row>
    <row r="54" spans="1:35" s="10" customFormat="1" ht="31.5" x14ac:dyDescent="0.25">
      <c r="A54" s="413"/>
      <c r="B54" s="529"/>
      <c r="C54" s="73" t="s">
        <v>21</v>
      </c>
      <c r="D54" s="74">
        <f>SUM(J54,L54,N54,P54,R54,T54,V54,X54,Z54,AB54,AD54,AF54)</f>
        <v>19039.885000000002</v>
      </c>
      <c r="E54" s="74">
        <f>J54+L54+N54+P54+R54+T54+V54+X54+Z54+AB54+AD54</f>
        <v>18079.915000000001</v>
      </c>
      <c r="F54" s="74">
        <f>G54</f>
        <v>17326.71</v>
      </c>
      <c r="G54" s="74">
        <f>SUM(K54,M54,O54,Q54,S54,U54,W54,Y54,AA54,AC54,AE54,AG54)</f>
        <v>17326.71</v>
      </c>
      <c r="H54" s="74">
        <f t="shared" si="146"/>
        <v>91.002177796767143</v>
      </c>
      <c r="I54" s="74">
        <f t="shared" si="147"/>
        <v>95.834023555973573</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1654.44</v>
      </c>
      <c r="AC54" s="67">
        <v>1551.97</v>
      </c>
      <c r="AD54" s="67">
        <v>1564.48</v>
      </c>
      <c r="AE54" s="67">
        <v>1286.8599999999999</v>
      </c>
      <c r="AF54" s="67">
        <v>959.97</v>
      </c>
      <c r="AG54" s="67">
        <v>0</v>
      </c>
      <c r="AH54" s="419"/>
    </row>
    <row r="55" spans="1:35" ht="15.75" x14ac:dyDescent="0.25">
      <c r="A55" s="493" t="s">
        <v>71</v>
      </c>
      <c r="B55" s="496" t="s">
        <v>72</v>
      </c>
      <c r="C55" s="81" t="s">
        <v>20</v>
      </c>
      <c r="D55" s="82">
        <f>D56</f>
        <v>85273.600000000006</v>
      </c>
      <c r="E55" s="82">
        <f t="shared" ref="E55" si="158">E56</f>
        <v>77134.950000000012</v>
      </c>
      <c r="F55" s="82">
        <f t="shared" ref="F55" si="159">F56</f>
        <v>70071.539999999994</v>
      </c>
      <c r="G55" s="82">
        <f t="shared" ref="G55" si="160">G56</f>
        <v>70071.539999999994</v>
      </c>
      <c r="H55" s="82">
        <f t="shared" si="146"/>
        <v>82.172606762233542</v>
      </c>
      <c r="I55" s="82">
        <f t="shared" si="147"/>
        <v>90.842789163667035</v>
      </c>
      <c r="J55" s="83">
        <f t="shared" ref="J55:AG55" si="161">SUM(J56:J56)</f>
        <v>6354.62</v>
      </c>
      <c r="K55" s="83">
        <f t="shared" si="161"/>
        <v>6145.18</v>
      </c>
      <c r="L55" s="83">
        <f t="shared" si="161"/>
        <v>8341.69</v>
      </c>
      <c r="M55" s="83">
        <f t="shared" si="161"/>
        <v>7922.46</v>
      </c>
      <c r="N55" s="83">
        <f t="shared" si="161"/>
        <v>5571.74</v>
      </c>
      <c r="O55" s="83">
        <f t="shared" si="161"/>
        <v>5202.1099999999997</v>
      </c>
      <c r="P55" s="83">
        <f t="shared" si="161"/>
        <v>6530.21</v>
      </c>
      <c r="Q55" s="83">
        <f t="shared" si="161"/>
        <v>6608.99</v>
      </c>
      <c r="R55" s="83">
        <f t="shared" si="161"/>
        <v>6120.86</v>
      </c>
      <c r="S55" s="83">
        <f t="shared" si="161"/>
        <v>5154.75</v>
      </c>
      <c r="T55" s="83">
        <f t="shared" si="161"/>
        <v>7691.26</v>
      </c>
      <c r="U55" s="83">
        <f t="shared" si="161"/>
        <v>5811.46</v>
      </c>
      <c r="V55" s="83">
        <f t="shared" si="161"/>
        <v>9063.01</v>
      </c>
      <c r="W55" s="83">
        <f t="shared" si="161"/>
        <v>6932.08</v>
      </c>
      <c r="X55" s="83">
        <f t="shared" si="161"/>
        <v>7276.5</v>
      </c>
      <c r="Y55" s="83">
        <f t="shared" si="161"/>
        <v>6349.42</v>
      </c>
      <c r="Z55" s="83">
        <f t="shared" si="161"/>
        <v>6546.32</v>
      </c>
      <c r="AA55" s="83">
        <f t="shared" si="161"/>
        <v>7774.96</v>
      </c>
      <c r="AB55" s="83">
        <f t="shared" si="161"/>
        <v>7601.52</v>
      </c>
      <c r="AC55" s="83">
        <f t="shared" si="161"/>
        <v>6358.78</v>
      </c>
      <c r="AD55" s="83">
        <f t="shared" si="161"/>
        <v>6037.22</v>
      </c>
      <c r="AE55" s="83">
        <f t="shared" si="161"/>
        <v>5811.35</v>
      </c>
      <c r="AF55" s="83">
        <f t="shared" si="161"/>
        <v>8138.65</v>
      </c>
      <c r="AG55" s="83">
        <f t="shared" si="161"/>
        <v>0</v>
      </c>
      <c r="AH55" s="465"/>
    </row>
    <row r="56" spans="1:35" ht="96" customHeight="1" x14ac:dyDescent="0.25">
      <c r="A56" s="495"/>
      <c r="B56" s="498"/>
      <c r="C56" s="73" t="s">
        <v>21</v>
      </c>
      <c r="D56" s="74">
        <f>SUM(J56,L56,N56,P56,R56,T56,V56,X56,Z56,AB56,AD56,AF56)</f>
        <v>85273.600000000006</v>
      </c>
      <c r="E56" s="74">
        <f>J56+L56+N56+P56+R56+T56+V56+X56+Z56+AB56+AD56</f>
        <v>77134.950000000012</v>
      </c>
      <c r="F56" s="74">
        <f>G56</f>
        <v>70071.539999999994</v>
      </c>
      <c r="G56" s="74">
        <f>SUM(K56,M56,O56,Q56,S56,U56,W56,Y56,AA56,AC56,AE56,AG56)</f>
        <v>70071.539999999994</v>
      </c>
      <c r="H56" s="74">
        <f t="shared" si="146"/>
        <v>82.172606762233542</v>
      </c>
      <c r="I56" s="74">
        <f t="shared" si="147"/>
        <v>90.842789163667035</v>
      </c>
      <c r="J56" s="67">
        <f>J58+J60</f>
        <v>6354.62</v>
      </c>
      <c r="K56" s="67">
        <f t="shared" ref="K56:AG56" si="162">K58+K60</f>
        <v>6145.18</v>
      </c>
      <c r="L56" s="67">
        <f t="shared" si="162"/>
        <v>8341.69</v>
      </c>
      <c r="M56" s="67">
        <f t="shared" si="162"/>
        <v>7922.46</v>
      </c>
      <c r="N56" s="67">
        <f t="shared" si="162"/>
        <v>5571.74</v>
      </c>
      <c r="O56" s="67">
        <f t="shared" si="162"/>
        <v>5202.1099999999997</v>
      </c>
      <c r="P56" s="67">
        <f t="shared" si="162"/>
        <v>6530.21</v>
      </c>
      <c r="Q56" s="67">
        <f t="shared" si="162"/>
        <v>6608.99</v>
      </c>
      <c r="R56" s="67">
        <f t="shared" si="162"/>
        <v>6120.86</v>
      </c>
      <c r="S56" s="67">
        <f t="shared" si="162"/>
        <v>5154.75</v>
      </c>
      <c r="T56" s="67">
        <f t="shared" si="162"/>
        <v>7691.26</v>
      </c>
      <c r="U56" s="67">
        <f t="shared" si="162"/>
        <v>5811.46</v>
      </c>
      <c r="V56" s="67">
        <f t="shared" si="162"/>
        <v>9063.01</v>
      </c>
      <c r="W56" s="67">
        <f t="shared" si="162"/>
        <v>6932.08</v>
      </c>
      <c r="X56" s="67">
        <f t="shared" si="162"/>
        <v>7276.5</v>
      </c>
      <c r="Y56" s="67">
        <f t="shared" si="162"/>
        <v>6349.42</v>
      </c>
      <c r="Z56" s="67">
        <f t="shared" si="162"/>
        <v>6546.32</v>
      </c>
      <c r="AA56" s="67">
        <f t="shared" si="162"/>
        <v>7774.96</v>
      </c>
      <c r="AB56" s="67">
        <f t="shared" si="162"/>
        <v>7601.52</v>
      </c>
      <c r="AC56" s="67">
        <f t="shared" si="162"/>
        <v>6358.78</v>
      </c>
      <c r="AD56" s="67">
        <f t="shared" si="162"/>
        <v>6037.22</v>
      </c>
      <c r="AE56" s="67">
        <f t="shared" si="162"/>
        <v>5811.35</v>
      </c>
      <c r="AF56" s="67">
        <f t="shared" si="162"/>
        <v>8138.65</v>
      </c>
      <c r="AG56" s="67">
        <f t="shared" si="162"/>
        <v>0</v>
      </c>
      <c r="AH56" s="467"/>
    </row>
    <row r="57" spans="1:35" ht="15.75" x14ac:dyDescent="0.25">
      <c r="A57" s="412"/>
      <c r="B57" s="529" t="s">
        <v>73</v>
      </c>
      <c r="C57" s="69" t="s">
        <v>20</v>
      </c>
      <c r="D57" s="70">
        <f>D58</f>
        <v>85273.600000000006</v>
      </c>
      <c r="E57" s="70">
        <f t="shared" ref="E57" si="163">E58</f>
        <v>77134.950000000012</v>
      </c>
      <c r="F57" s="70">
        <f t="shared" ref="F57" si="164">F58</f>
        <v>70071.539999999994</v>
      </c>
      <c r="G57" s="70">
        <f t="shared" ref="G57" si="165">G58</f>
        <v>70071.539999999994</v>
      </c>
      <c r="H57" s="70">
        <f t="shared" si="146"/>
        <v>82.172606762233542</v>
      </c>
      <c r="I57" s="70">
        <f t="shared" si="147"/>
        <v>90.842789163667035</v>
      </c>
      <c r="J57" s="71">
        <f t="shared" ref="J57:AG57" si="166">SUM(J58:J58)</f>
        <v>6354.62</v>
      </c>
      <c r="K57" s="71">
        <f t="shared" si="166"/>
        <v>6145.18</v>
      </c>
      <c r="L57" s="71">
        <f t="shared" si="166"/>
        <v>8341.69</v>
      </c>
      <c r="M57" s="71">
        <f t="shared" si="166"/>
        <v>7922.46</v>
      </c>
      <c r="N57" s="71">
        <f t="shared" si="166"/>
        <v>5571.74</v>
      </c>
      <c r="O57" s="71">
        <f t="shared" si="166"/>
        <v>5202.1099999999997</v>
      </c>
      <c r="P57" s="71">
        <f t="shared" si="166"/>
        <v>6530.21</v>
      </c>
      <c r="Q57" s="71">
        <f t="shared" si="166"/>
        <v>6608.99</v>
      </c>
      <c r="R57" s="71">
        <f t="shared" si="166"/>
        <v>6120.86</v>
      </c>
      <c r="S57" s="71">
        <f t="shared" si="166"/>
        <v>5154.75</v>
      </c>
      <c r="T57" s="71">
        <f t="shared" si="166"/>
        <v>7691.26</v>
      </c>
      <c r="U57" s="71">
        <f t="shared" si="166"/>
        <v>5811.46</v>
      </c>
      <c r="V57" s="71">
        <f t="shared" si="166"/>
        <v>9063.01</v>
      </c>
      <c r="W57" s="71">
        <f t="shared" si="166"/>
        <v>6932.08</v>
      </c>
      <c r="X57" s="71">
        <f t="shared" si="166"/>
        <v>7276.5</v>
      </c>
      <c r="Y57" s="71">
        <f t="shared" si="166"/>
        <v>6349.42</v>
      </c>
      <c r="Z57" s="71">
        <f t="shared" si="166"/>
        <v>6546.32</v>
      </c>
      <c r="AA57" s="71">
        <f t="shared" si="166"/>
        <v>7774.96</v>
      </c>
      <c r="AB57" s="71">
        <f t="shared" si="166"/>
        <v>7601.52</v>
      </c>
      <c r="AC57" s="71">
        <f t="shared" si="166"/>
        <v>6358.78</v>
      </c>
      <c r="AD57" s="71">
        <f t="shared" si="166"/>
        <v>6037.22</v>
      </c>
      <c r="AE57" s="71">
        <f t="shared" si="166"/>
        <v>5811.35</v>
      </c>
      <c r="AF57" s="71">
        <f t="shared" si="166"/>
        <v>8138.65</v>
      </c>
      <c r="AG57" s="71">
        <f t="shared" si="166"/>
        <v>0</v>
      </c>
      <c r="AH57" s="418" t="s">
        <v>335</v>
      </c>
    </row>
    <row r="58" spans="1:35" ht="31.5" x14ac:dyDescent="0.25">
      <c r="A58" s="413"/>
      <c r="B58" s="529"/>
      <c r="C58" s="73" t="s">
        <v>21</v>
      </c>
      <c r="D58" s="74">
        <f>SUM(J58,L58,N58,P58,R58,T58,V58,X58,Z58,AB58,AD58,AF58)</f>
        <v>85273.600000000006</v>
      </c>
      <c r="E58" s="74">
        <f>J58+L58+N58+P58+R58+T58+V58+X58+Z58+AB58+AD58</f>
        <v>77134.950000000012</v>
      </c>
      <c r="F58" s="74">
        <f>G58</f>
        <v>70071.539999999994</v>
      </c>
      <c r="G58" s="74">
        <f>SUM(K58,M58,O58,Q58,S58,U58,W58,Y58,AA58,AC58,AE58,AG58)</f>
        <v>70071.539999999994</v>
      </c>
      <c r="H58" s="74">
        <f t="shared" si="146"/>
        <v>82.172606762233542</v>
      </c>
      <c r="I58" s="74">
        <f t="shared" si="147"/>
        <v>90.842789163667035</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5811.35</v>
      </c>
      <c r="AF58" s="67">
        <v>8138.65</v>
      </c>
      <c r="AG58" s="67">
        <v>0</v>
      </c>
      <c r="AH58" s="419"/>
    </row>
  </sheetData>
  <customSheetViews>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1"/>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3"/>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4"/>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5"/>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6"/>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7"/>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8"/>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9"/>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0"/>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1"/>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2"/>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3"/>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4"/>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5"/>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6"/>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7"/>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18"/>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20"/>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1"/>
    </customSheetView>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22"/>
    </customSheetView>
    <customSheetView guid="{AFADB96A-0516-43C1-9F1B-0604F3CAC04A}" scale="80">
      <pane xSplit="6" ySplit="7" topLeftCell="G8" activePane="bottomRight" state="frozen"/>
      <selection pane="bottomRight" activeCell="E59" sqref="E59"/>
      <pageMargins left="0.7" right="0.7" top="0.75" bottom="0.75" header="0.3" footer="0.3"/>
      <pageSetup paperSize="9" orientation="portrait" r:id="rId23"/>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24"/>
    </customSheetView>
    <customSheetView guid="{2940A182-D1A7-43C5-8D6E-965BED4371B0}" scale="80">
      <pane xSplit="6" ySplit="7" topLeftCell="G8" activePane="bottomRight" state="frozen"/>
      <selection pane="bottomRight" activeCell="M28" sqref="M28"/>
      <pageMargins left="0.7" right="0.7" top="0.75" bottom="0.75" header="0.3" footer="0.3"/>
      <pageSetup paperSize="9" orientation="portrait" r:id="rId25"/>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26"/>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27"/>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 ref="B45:B47"/>
    <mergeCell ref="A42:A44"/>
    <mergeCell ref="B42:B44"/>
    <mergeCell ref="A24:A26"/>
    <mergeCell ref="B27:B29"/>
    <mergeCell ref="A27:A29"/>
    <mergeCell ref="A38:A39"/>
    <mergeCell ref="B38:B39"/>
    <mergeCell ref="A55:A56"/>
    <mergeCell ref="B55:B56"/>
    <mergeCell ref="A57:A58"/>
    <mergeCell ref="B57:B58"/>
    <mergeCell ref="B48:AG48"/>
    <mergeCell ref="A49:A50"/>
    <mergeCell ref="B49:B50"/>
    <mergeCell ref="A53:A54"/>
    <mergeCell ref="B53:B54"/>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18:AH20"/>
    <mergeCell ref="AH21:AH23"/>
    <mergeCell ref="AH24:AH26"/>
    <mergeCell ref="AH51:AH52"/>
    <mergeCell ref="AH53:AH54"/>
    <mergeCell ref="AH55:AH56"/>
    <mergeCell ref="AH57:AH58"/>
    <mergeCell ref="AH27:AH29"/>
    <mergeCell ref="AH34:AH36"/>
    <mergeCell ref="AH45:AH47"/>
    <mergeCell ref="AH49:AH50"/>
    <mergeCell ref="AH30:AH32"/>
    <mergeCell ref="AH38:AH41"/>
    <mergeCell ref="AH42:AH44"/>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activeCell="Z27" activeCellId="1" sqref="Q30 Z27"/>
      <selection pane="topRight" activeCell="Z27" activeCellId="1" sqref="Q30 Z27"/>
      <selection pane="bottomLeft" activeCell="Z27" activeCellId="1" sqref="Q30 Z27"/>
      <selection pane="bottomRight" activeCell="Z27" activeCellId="1" sqref="Q30 Z27"/>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72" t="s">
        <v>24</v>
      </c>
      <c r="D2" s="472"/>
      <c r="E2" s="472"/>
      <c r="F2" s="472"/>
      <c r="G2" s="472"/>
      <c r="H2" s="472"/>
      <c r="I2" s="472"/>
      <c r="J2" s="472"/>
      <c r="K2" s="472"/>
      <c r="L2" s="472"/>
      <c r="M2" s="472"/>
      <c r="N2" s="472"/>
      <c r="O2" s="472"/>
      <c r="P2" s="472"/>
      <c r="Q2" s="472"/>
      <c r="R2" s="472"/>
      <c r="S2" s="472"/>
      <c r="T2" s="35"/>
      <c r="U2" s="35"/>
      <c r="V2" s="35"/>
      <c r="W2" s="35"/>
      <c r="X2" s="35"/>
      <c r="Y2" s="35"/>
      <c r="Z2" s="35"/>
      <c r="AA2" s="35"/>
      <c r="AB2" s="35"/>
      <c r="AC2" s="35"/>
      <c r="AD2" s="35"/>
      <c r="AE2" s="35"/>
      <c r="AF2" s="35"/>
      <c r="AG2" s="35"/>
      <c r="AH2" s="35"/>
    </row>
    <row r="3" spans="1:35" s="10" customFormat="1" ht="36.75" customHeight="1" x14ac:dyDescent="0.25">
      <c r="A3" s="55"/>
      <c r="B3" s="55"/>
      <c r="C3" s="473" t="s">
        <v>74</v>
      </c>
      <c r="D3" s="473"/>
      <c r="E3" s="473"/>
      <c r="F3" s="473"/>
      <c r="G3" s="473"/>
      <c r="H3" s="473"/>
      <c r="I3" s="473"/>
      <c r="J3" s="473"/>
      <c r="K3" s="473"/>
      <c r="L3" s="473"/>
      <c r="M3" s="473"/>
      <c r="N3" s="473"/>
      <c r="O3" s="473"/>
      <c r="P3" s="473"/>
      <c r="Q3" s="473"/>
      <c r="R3" s="473"/>
      <c r="S3" s="473"/>
      <c r="T3" s="36"/>
      <c r="U3" s="36"/>
      <c r="V3" s="36"/>
      <c r="W3" s="36"/>
      <c r="X3" s="36"/>
      <c r="Y3" s="36"/>
      <c r="Z3" s="36"/>
      <c r="AA3" s="36"/>
      <c r="AB3" s="36"/>
      <c r="AC3" s="36"/>
      <c r="AD3" s="37"/>
      <c r="AE3" s="37"/>
      <c r="AF3" s="37"/>
      <c r="AG3" s="37" t="s">
        <v>0</v>
      </c>
      <c r="AH3" s="37"/>
    </row>
    <row r="4" spans="1:35" s="10" customFormat="1" ht="15" customHeight="1" x14ac:dyDescent="0.25">
      <c r="A4" s="474" t="s">
        <v>26</v>
      </c>
      <c r="B4" s="477" t="s">
        <v>29</v>
      </c>
      <c r="C4" s="477" t="s">
        <v>30</v>
      </c>
      <c r="D4" s="485" t="s">
        <v>1</v>
      </c>
      <c r="E4" s="485" t="s">
        <v>1</v>
      </c>
      <c r="F4" s="485" t="s">
        <v>2</v>
      </c>
      <c r="G4" s="485" t="s">
        <v>3</v>
      </c>
      <c r="H4" s="468" t="s">
        <v>4</v>
      </c>
      <c r="I4" s="469"/>
      <c r="J4" s="468" t="s">
        <v>5</v>
      </c>
      <c r="K4" s="469"/>
      <c r="L4" s="468" t="s">
        <v>6</v>
      </c>
      <c r="M4" s="469"/>
      <c r="N4" s="468" t="s">
        <v>7</v>
      </c>
      <c r="O4" s="469"/>
      <c r="P4" s="468" t="s">
        <v>8</v>
      </c>
      <c r="Q4" s="469"/>
      <c r="R4" s="468" t="s">
        <v>9</v>
      </c>
      <c r="S4" s="469"/>
      <c r="T4" s="468" t="s">
        <v>10</v>
      </c>
      <c r="U4" s="469"/>
      <c r="V4" s="468" t="s">
        <v>11</v>
      </c>
      <c r="W4" s="469"/>
      <c r="X4" s="468" t="s">
        <v>12</v>
      </c>
      <c r="Y4" s="469"/>
      <c r="Z4" s="468" t="s">
        <v>13</v>
      </c>
      <c r="AA4" s="469"/>
      <c r="AB4" s="468" t="s">
        <v>14</v>
      </c>
      <c r="AC4" s="469"/>
      <c r="AD4" s="468" t="s">
        <v>15</v>
      </c>
      <c r="AE4" s="469"/>
      <c r="AF4" s="468" t="s">
        <v>16</v>
      </c>
      <c r="AG4" s="469"/>
      <c r="AH4" s="459" t="s">
        <v>17</v>
      </c>
    </row>
    <row r="5" spans="1:35" s="10" customFormat="1" ht="39" customHeight="1" x14ac:dyDescent="0.25">
      <c r="A5" s="475"/>
      <c r="B5" s="478"/>
      <c r="C5" s="478"/>
      <c r="D5" s="486"/>
      <c r="E5" s="486"/>
      <c r="F5" s="486"/>
      <c r="G5" s="486"/>
      <c r="H5" s="470"/>
      <c r="I5" s="471"/>
      <c r="J5" s="470"/>
      <c r="K5" s="471"/>
      <c r="L5" s="470"/>
      <c r="M5" s="471"/>
      <c r="N5" s="470"/>
      <c r="O5" s="471"/>
      <c r="P5" s="470"/>
      <c r="Q5" s="471"/>
      <c r="R5" s="470"/>
      <c r="S5" s="471"/>
      <c r="T5" s="470"/>
      <c r="U5" s="471"/>
      <c r="V5" s="470"/>
      <c r="W5" s="471"/>
      <c r="X5" s="470"/>
      <c r="Y5" s="471"/>
      <c r="Z5" s="470"/>
      <c r="AA5" s="471"/>
      <c r="AB5" s="470"/>
      <c r="AC5" s="471"/>
      <c r="AD5" s="470"/>
      <c r="AE5" s="471"/>
      <c r="AF5" s="470"/>
      <c r="AG5" s="471"/>
      <c r="AH5" s="460"/>
    </row>
    <row r="6" spans="1:35" s="10" customFormat="1" ht="64.5" customHeight="1" x14ac:dyDescent="0.25">
      <c r="A6" s="476"/>
      <c r="B6" s="479"/>
      <c r="C6" s="479"/>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61"/>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8" customFormat="1" ht="31.5" customHeight="1" x14ac:dyDescent="0.25">
      <c r="A8" s="462"/>
      <c r="B8" s="465" t="s">
        <v>23</v>
      </c>
      <c r="C8" s="275" t="s">
        <v>20</v>
      </c>
      <c r="D8" s="202">
        <f>D9+D10+D11</f>
        <v>1002045.24</v>
      </c>
      <c r="E8" s="202">
        <f t="shared" ref="E8:G8" si="0">E9+E10+E11</f>
        <v>1002045.24</v>
      </c>
      <c r="F8" s="202">
        <f t="shared" si="0"/>
        <v>977514.11</v>
      </c>
      <c r="G8" s="202">
        <f t="shared" si="0"/>
        <v>977514.11</v>
      </c>
      <c r="H8" s="202">
        <f>IFERROR(G8/D8*100,0)</f>
        <v>97.55189396438827</v>
      </c>
      <c r="I8" s="202">
        <f>IFERROR(G8/E8*100,0)</f>
        <v>97.55189396438827</v>
      </c>
      <c r="J8" s="201">
        <f>J9+J10+J11</f>
        <v>0</v>
      </c>
      <c r="K8" s="201">
        <f t="shared" ref="K8:AG8" si="1">K9+K10+K11</f>
        <v>0</v>
      </c>
      <c r="L8" s="201">
        <f t="shared" si="1"/>
        <v>0</v>
      </c>
      <c r="M8" s="201">
        <f t="shared" si="1"/>
        <v>0</v>
      </c>
      <c r="N8" s="201">
        <f t="shared" si="1"/>
        <v>2235.88</v>
      </c>
      <c r="O8" s="201">
        <f t="shared" si="1"/>
        <v>2235.88</v>
      </c>
      <c r="P8" s="201">
        <f t="shared" si="1"/>
        <v>0</v>
      </c>
      <c r="Q8" s="201">
        <f t="shared" si="1"/>
        <v>0</v>
      </c>
      <c r="R8" s="201">
        <f t="shared" si="1"/>
        <v>0</v>
      </c>
      <c r="S8" s="201">
        <f t="shared" si="1"/>
        <v>0</v>
      </c>
      <c r="T8" s="201">
        <f t="shared" si="1"/>
        <v>89282.95</v>
      </c>
      <c r="U8" s="201">
        <f t="shared" si="1"/>
        <v>89282.95</v>
      </c>
      <c r="V8" s="201">
        <f t="shared" si="1"/>
        <v>284377.98000000004</v>
      </c>
      <c r="W8" s="201">
        <f t="shared" si="1"/>
        <v>284377.98000000004</v>
      </c>
      <c r="X8" s="201">
        <f t="shared" si="1"/>
        <v>21369.27</v>
      </c>
      <c r="Y8" s="201">
        <f t="shared" si="1"/>
        <v>21369.27</v>
      </c>
      <c r="Z8" s="201">
        <f t="shared" si="1"/>
        <v>36658.080000000002</v>
      </c>
      <c r="AA8" s="201">
        <f t="shared" si="1"/>
        <v>8597.48</v>
      </c>
      <c r="AB8" s="201">
        <f t="shared" si="1"/>
        <v>176239.92</v>
      </c>
      <c r="AC8" s="201">
        <f t="shared" si="1"/>
        <v>1272.8900000000001</v>
      </c>
      <c r="AD8" s="201">
        <f t="shared" si="1"/>
        <v>82607.48000000001</v>
      </c>
      <c r="AE8" s="201">
        <f t="shared" si="1"/>
        <v>82575.760000000009</v>
      </c>
      <c r="AF8" s="201">
        <f t="shared" si="1"/>
        <v>309557.24</v>
      </c>
      <c r="AG8" s="201">
        <f t="shared" si="1"/>
        <v>99047.97</v>
      </c>
      <c r="AH8" s="276"/>
    </row>
    <row r="9" spans="1:35" s="26" customFormat="1" ht="48.75" customHeight="1" x14ac:dyDescent="0.25">
      <c r="A9" s="463"/>
      <c r="B9" s="466"/>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63"/>
      <c r="B10" s="466"/>
      <c r="C10" s="73" t="s">
        <v>22</v>
      </c>
      <c r="D10" s="74">
        <v>723630.9</v>
      </c>
      <c r="E10" s="74">
        <v>723630.9</v>
      </c>
      <c r="F10" s="74">
        <v>723630.9</v>
      </c>
      <c r="G10" s="74">
        <v>723630.9</v>
      </c>
      <c r="H10" s="74">
        <f>IFERROR(G10/D10*100,0)</f>
        <v>100</v>
      </c>
      <c r="I10" s="74">
        <f>IFERROR(G10/E10*100,0)</f>
        <v>100</v>
      </c>
      <c r="J10" s="74">
        <v>0</v>
      </c>
      <c r="K10" s="74">
        <f t="shared" ref="K10:W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v>31622.25</v>
      </c>
      <c r="AH10" s="75"/>
    </row>
    <row r="11" spans="1:35" s="26" customFormat="1" ht="41.25" customHeight="1" x14ac:dyDescent="0.25">
      <c r="A11" s="464"/>
      <c r="B11" s="467"/>
      <c r="C11" s="73" t="s">
        <v>21</v>
      </c>
      <c r="D11" s="74">
        <v>278414.34000000003</v>
      </c>
      <c r="E11" s="74">
        <v>278414.34000000003</v>
      </c>
      <c r="F11" s="74">
        <v>253883.21</v>
      </c>
      <c r="G11" s="74">
        <v>253883.21</v>
      </c>
      <c r="H11" s="74">
        <v>100</v>
      </c>
      <c r="I11" s="74">
        <v>100</v>
      </c>
      <c r="J11" s="74">
        <v>0</v>
      </c>
      <c r="K11" s="74">
        <f t="shared" ref="K11:W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75068.990000000005</v>
      </c>
      <c r="AG11" s="74">
        <v>67425.72</v>
      </c>
      <c r="AH11" s="75"/>
    </row>
    <row r="12" spans="1:35" s="18" customFormat="1" ht="18.75" customHeight="1" x14ac:dyDescent="0.25">
      <c r="A12" s="68"/>
      <c r="B12" s="415" t="s">
        <v>75</v>
      </c>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7"/>
      <c r="AH12" s="46"/>
    </row>
    <row r="13" spans="1:35" s="278" customFormat="1" ht="31.5" customHeight="1" x14ac:dyDescent="0.25">
      <c r="A13" s="423" t="s">
        <v>50</v>
      </c>
      <c r="B13" s="536" t="s">
        <v>78</v>
      </c>
      <c r="C13" s="275" t="s">
        <v>20</v>
      </c>
      <c r="D13" s="202">
        <f>D15+D16+D14</f>
        <v>684975</v>
      </c>
      <c r="E13" s="202">
        <v>684975</v>
      </c>
      <c r="F13" s="202">
        <v>684975</v>
      </c>
      <c r="G13" s="202">
        <v>684975</v>
      </c>
      <c r="H13" s="202">
        <f>IFERROR(G13/D13*100,0)</f>
        <v>100</v>
      </c>
      <c r="I13" s="202">
        <f>IFERROR(G13/E13*100,0)</f>
        <v>100</v>
      </c>
      <c r="J13" s="202">
        <f t="shared" ref="J13:AG13" si="7">J15+J16+J14</f>
        <v>0</v>
      </c>
      <c r="K13" s="202">
        <f t="shared" si="7"/>
        <v>0</v>
      </c>
      <c r="L13" s="202">
        <f t="shared" si="7"/>
        <v>0</v>
      </c>
      <c r="M13" s="202">
        <f t="shared" si="7"/>
        <v>0</v>
      </c>
      <c r="N13" s="202">
        <f t="shared" si="7"/>
        <v>2235.88</v>
      </c>
      <c r="O13" s="202">
        <f t="shared" si="7"/>
        <v>2235.88</v>
      </c>
      <c r="P13" s="202">
        <v>0</v>
      </c>
      <c r="Q13" s="202">
        <f t="shared" si="7"/>
        <v>0</v>
      </c>
      <c r="R13" s="202">
        <f t="shared" si="7"/>
        <v>0</v>
      </c>
      <c r="S13" s="202">
        <f t="shared" si="7"/>
        <v>0</v>
      </c>
      <c r="T13" s="202">
        <f t="shared" si="7"/>
        <v>0</v>
      </c>
      <c r="U13" s="202">
        <f t="shared" si="7"/>
        <v>0</v>
      </c>
      <c r="V13" s="202">
        <f t="shared" si="7"/>
        <v>284377.98000000004</v>
      </c>
      <c r="W13" s="202">
        <f t="shared" si="7"/>
        <v>284377.98000000004</v>
      </c>
      <c r="X13" s="202">
        <v>9603.68</v>
      </c>
      <c r="Y13" s="202">
        <f t="shared" si="7"/>
        <v>9603.67</v>
      </c>
      <c r="Z13" s="202">
        <f t="shared" si="7"/>
        <v>28060.6</v>
      </c>
      <c r="AA13" s="202">
        <f t="shared" si="7"/>
        <v>28060.6</v>
      </c>
      <c r="AB13" s="202">
        <f t="shared" si="7"/>
        <v>147086.1</v>
      </c>
      <c r="AC13" s="202">
        <f t="shared" si="7"/>
        <v>147086.09</v>
      </c>
      <c r="AD13" s="202">
        <f t="shared" si="7"/>
        <v>64.069999999999993</v>
      </c>
      <c r="AE13" s="202">
        <f t="shared" si="7"/>
        <v>0</v>
      </c>
      <c r="AF13" s="202">
        <f t="shared" si="7"/>
        <v>213546.7</v>
      </c>
      <c r="AG13" s="202">
        <f t="shared" si="7"/>
        <v>213607.24</v>
      </c>
      <c r="AH13" s="276"/>
      <c r="AI13" s="277"/>
    </row>
    <row r="14" spans="1:35" s="21" customFormat="1" ht="42.75" hidden="1" customHeight="1" x14ac:dyDescent="0.25">
      <c r="A14" s="424"/>
      <c r="B14" s="537"/>
      <c r="C14" s="61" t="s">
        <v>52</v>
      </c>
      <c r="D14" s="62">
        <f>SUM(J14,L14,N14,P14,R14,T14,V14,X14,Z14,AB14,AD14,AF14)</f>
        <v>0</v>
      </c>
      <c r="E14" s="62">
        <f>J14</f>
        <v>0</v>
      </c>
      <c r="F14" s="62">
        <f ca="1">G14</f>
        <v>0</v>
      </c>
      <c r="G14" s="62">
        <f ca="1">H14</f>
        <v>0</v>
      </c>
      <c r="H14" s="62">
        <f t="shared" ref="H14" ca="1" si="8">IFERROR(G14/D14*100,0)</f>
        <v>0</v>
      </c>
      <c r="I14" s="62">
        <f t="shared" ref="I14:I15" ca="1"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24"/>
      <c r="B15" s="537"/>
      <c r="C15" s="61" t="s">
        <v>22</v>
      </c>
      <c r="D15" s="62">
        <v>648598.80000000005</v>
      </c>
      <c r="E15" s="62">
        <v>648598.80000000005</v>
      </c>
      <c r="F15" s="62">
        <v>648598.80000000005</v>
      </c>
      <c r="G15" s="62">
        <v>648598.80000000005</v>
      </c>
      <c r="H15" s="62">
        <f>IFERROR(G15/D15*100,0)</f>
        <v>100</v>
      </c>
      <c r="I15" s="62">
        <f t="shared" si="9"/>
        <v>100</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202926.88</v>
      </c>
      <c r="AH15" s="282" t="s">
        <v>461</v>
      </c>
      <c r="AI15" s="23">
        <f t="shared" ref="AI15:AI23" si="10">E16-G16</f>
        <v>0</v>
      </c>
    </row>
    <row r="16" spans="1:35" s="22" customFormat="1" ht="76.5" customHeight="1" x14ac:dyDescent="0.25">
      <c r="A16" s="425"/>
      <c r="B16" s="538"/>
      <c r="C16" s="61" t="s">
        <v>21</v>
      </c>
      <c r="D16" s="62">
        <v>36376.199999999997</v>
      </c>
      <c r="E16" s="62">
        <v>36376.199999999997</v>
      </c>
      <c r="F16" s="62">
        <v>36376.199999999997</v>
      </c>
      <c r="G16" s="62">
        <v>36376.199999999997</v>
      </c>
      <c r="H16" s="62">
        <v>100</v>
      </c>
      <c r="I16" s="62">
        <f>IFERROR(G16/E16*100,0)</f>
        <v>100</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10680.36</v>
      </c>
      <c r="AH16" s="64"/>
      <c r="AI16" s="247">
        <f t="shared" si="10"/>
        <v>34951.800000000003</v>
      </c>
    </row>
    <row r="17" spans="1:35" s="22" customFormat="1" ht="28.5" customHeight="1" x14ac:dyDescent="0.25">
      <c r="A17" s="423" t="s">
        <v>76</v>
      </c>
      <c r="B17" s="536"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7">
        <f t="shared" si="10"/>
        <v>7660.6</v>
      </c>
    </row>
    <row r="18" spans="1:35" s="26" customFormat="1" ht="55.5" customHeight="1" x14ac:dyDescent="0.25">
      <c r="A18" s="424"/>
      <c r="B18" s="537"/>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8">
        <f t="shared" si="10"/>
        <v>21832.9</v>
      </c>
    </row>
    <row r="19" spans="1:35" s="26" customFormat="1" ht="37.5" customHeight="1" x14ac:dyDescent="0.25">
      <c r="A19" s="424"/>
      <c r="B19" s="537"/>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8">
        <f t="shared" si="10"/>
        <v>5458.3</v>
      </c>
    </row>
    <row r="20" spans="1:35" s="26" customFormat="1" ht="37.5" customHeight="1" x14ac:dyDescent="0.25">
      <c r="A20" s="425"/>
      <c r="B20" s="538"/>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8">
        <f t="shared" si="10"/>
        <v>24068.850000000006</v>
      </c>
    </row>
    <row r="21" spans="1:35" s="280" customFormat="1" ht="87.75" customHeight="1" x14ac:dyDescent="0.25">
      <c r="A21" s="412" t="s">
        <v>37</v>
      </c>
      <c r="B21" s="536" t="s">
        <v>79</v>
      </c>
      <c r="C21" s="275" t="s">
        <v>20</v>
      </c>
      <c r="D21" s="202">
        <v>222819.14</v>
      </c>
      <c r="E21" s="202">
        <f t="shared" ref="E21" si="15">E22</f>
        <v>222819.14</v>
      </c>
      <c r="F21" s="202">
        <f t="shared" ref="F21" si="16">F22</f>
        <v>198750.29</v>
      </c>
      <c r="G21" s="202">
        <f t="shared" ref="G21" si="17">G22</f>
        <v>198750.29</v>
      </c>
      <c r="H21" s="202">
        <f>IFERROR(G21/D21*100,0)</f>
        <v>89.198032987650876</v>
      </c>
      <c r="I21" s="202">
        <f>IFERROR(G21/E21*100,0)</f>
        <v>89.198032987650876</v>
      </c>
      <c r="J21" s="201">
        <f t="shared" ref="J21:AG21" si="18">SUM(J22:J22)</f>
        <v>0</v>
      </c>
      <c r="K21" s="201">
        <f t="shared" si="18"/>
        <v>0</v>
      </c>
      <c r="L21" s="201">
        <f t="shared" si="18"/>
        <v>0</v>
      </c>
      <c r="M21" s="201">
        <f t="shared" si="18"/>
        <v>0</v>
      </c>
      <c r="N21" s="201">
        <f t="shared" si="18"/>
        <v>0</v>
      </c>
      <c r="O21" s="201">
        <f t="shared" si="18"/>
        <v>0</v>
      </c>
      <c r="P21" s="201">
        <f t="shared" si="18"/>
        <v>0</v>
      </c>
      <c r="Q21" s="201">
        <f t="shared" si="18"/>
        <v>0</v>
      </c>
      <c r="R21" s="201">
        <f t="shared" si="18"/>
        <v>0</v>
      </c>
      <c r="S21" s="201">
        <f t="shared" si="18"/>
        <v>0</v>
      </c>
      <c r="T21" s="201">
        <f t="shared" si="18"/>
        <v>89282.95</v>
      </c>
      <c r="U21" s="201">
        <f t="shared" si="18"/>
        <v>89282.95</v>
      </c>
      <c r="V21" s="201">
        <f t="shared" si="18"/>
        <v>0</v>
      </c>
      <c r="W21" s="201">
        <f t="shared" si="18"/>
        <v>0</v>
      </c>
      <c r="X21" s="201">
        <f t="shared" si="18"/>
        <v>11765.6</v>
      </c>
      <c r="Y21" s="201">
        <f t="shared" si="18"/>
        <v>11765.6</v>
      </c>
      <c r="Z21" s="201">
        <f t="shared" si="18"/>
        <v>8597.48</v>
      </c>
      <c r="AA21" s="201">
        <f t="shared" si="18"/>
        <v>8597.48</v>
      </c>
      <c r="AB21" s="201">
        <f t="shared" si="18"/>
        <v>29153.82</v>
      </c>
      <c r="AC21" s="201">
        <f t="shared" si="18"/>
        <v>1272.8900000000001</v>
      </c>
      <c r="AD21" s="201">
        <f t="shared" si="18"/>
        <v>28281.09</v>
      </c>
      <c r="AE21" s="201">
        <f t="shared" si="18"/>
        <v>28313.439999999999</v>
      </c>
      <c r="AF21" s="201">
        <f t="shared" si="18"/>
        <v>56021.760000000002</v>
      </c>
      <c r="AG21" s="201">
        <f t="shared" si="18"/>
        <v>59520.09</v>
      </c>
      <c r="AH21" s="276"/>
      <c r="AI21" s="281">
        <f t="shared" si="10"/>
        <v>24068.850000000006</v>
      </c>
    </row>
    <row r="22" spans="1:35" s="26" customFormat="1" ht="107.25" customHeight="1" x14ac:dyDescent="0.25">
      <c r="A22" s="413"/>
      <c r="B22" s="538"/>
      <c r="C22" s="73" t="s">
        <v>21</v>
      </c>
      <c r="D22" s="74">
        <v>222819.14</v>
      </c>
      <c r="E22" s="74">
        <v>222819.14</v>
      </c>
      <c r="F22" s="74">
        <v>198750.29</v>
      </c>
      <c r="G22" s="74">
        <v>198750.29</v>
      </c>
      <c r="H22" s="74">
        <v>89.2</v>
      </c>
      <c r="I22" s="74">
        <f>IFERROR(G22/E22*100,0)</f>
        <v>89.198032987650876</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56021.760000000002</v>
      </c>
      <c r="AG22" s="67">
        <v>59520.09</v>
      </c>
      <c r="AH22" s="72" t="s">
        <v>462</v>
      </c>
      <c r="AI22" s="248">
        <f t="shared" si="10"/>
        <v>0</v>
      </c>
    </row>
    <row r="23" spans="1:35" s="26" customFormat="1" ht="20.25" customHeight="1" x14ac:dyDescent="0.25">
      <c r="A23" s="90"/>
      <c r="B23" s="539" t="s">
        <v>80</v>
      </c>
      <c r="C23" s="540"/>
      <c r="D23" s="540"/>
      <c r="E23" s="540"/>
      <c r="F23" s="540"/>
      <c r="G23" s="540"/>
      <c r="H23" s="540"/>
      <c r="I23" s="540"/>
      <c r="J23" s="540"/>
      <c r="K23" s="540"/>
      <c r="L23" s="416"/>
      <c r="M23" s="416"/>
      <c r="N23" s="416"/>
      <c r="O23" s="416"/>
      <c r="P23" s="416"/>
      <c r="Q23" s="416"/>
      <c r="R23" s="416"/>
      <c r="S23" s="416"/>
      <c r="T23" s="416"/>
      <c r="U23" s="416"/>
      <c r="V23" s="416"/>
      <c r="W23" s="416"/>
      <c r="X23" s="416"/>
      <c r="Y23" s="416"/>
      <c r="Z23" s="416"/>
      <c r="AA23" s="416"/>
      <c r="AB23" s="416"/>
      <c r="AC23" s="416"/>
      <c r="AD23" s="416"/>
      <c r="AE23" s="416"/>
      <c r="AF23" s="416"/>
      <c r="AG23" s="417"/>
      <c r="AH23" s="72"/>
      <c r="AI23" s="248">
        <f t="shared" si="10"/>
        <v>460.9</v>
      </c>
    </row>
    <row r="24" spans="1:35" s="280" customFormat="1" ht="270.75" customHeight="1" x14ac:dyDescent="0.25">
      <c r="A24" s="412" t="s">
        <v>38</v>
      </c>
      <c r="B24" s="536" t="s">
        <v>81</v>
      </c>
      <c r="C24" s="275" t="s">
        <v>20</v>
      </c>
      <c r="D24" s="202">
        <f>D25</f>
        <v>460.9</v>
      </c>
      <c r="E24" s="202">
        <v>460.9</v>
      </c>
      <c r="F24" s="202">
        <f t="shared" ref="F24" si="19">F25</f>
        <v>0</v>
      </c>
      <c r="G24" s="202">
        <f t="shared" ref="G24" si="20">G25</f>
        <v>0</v>
      </c>
      <c r="H24" s="202">
        <f>IFERROR(G24/D24*100,0)</f>
        <v>0</v>
      </c>
      <c r="I24" s="202">
        <f>IFERROR(G24/E24*100,0)</f>
        <v>0</v>
      </c>
      <c r="J24" s="201">
        <f t="shared" ref="J24:AG24" si="21">SUM(J25:J25)</f>
        <v>0</v>
      </c>
      <c r="K24" s="201">
        <f t="shared" si="21"/>
        <v>0</v>
      </c>
      <c r="L24" s="201">
        <f t="shared" si="21"/>
        <v>0</v>
      </c>
      <c r="M24" s="201">
        <f t="shared" si="21"/>
        <v>0</v>
      </c>
      <c r="N24" s="201">
        <f t="shared" si="21"/>
        <v>0</v>
      </c>
      <c r="O24" s="201">
        <f t="shared" si="21"/>
        <v>0</v>
      </c>
      <c r="P24" s="201">
        <f t="shared" si="21"/>
        <v>0</v>
      </c>
      <c r="Q24" s="201">
        <f t="shared" si="21"/>
        <v>0</v>
      </c>
      <c r="R24" s="201">
        <f t="shared" si="21"/>
        <v>0</v>
      </c>
      <c r="S24" s="201">
        <f t="shared" si="21"/>
        <v>0</v>
      </c>
      <c r="T24" s="201">
        <f t="shared" si="21"/>
        <v>0</v>
      </c>
      <c r="U24" s="201">
        <f t="shared" si="21"/>
        <v>0</v>
      </c>
      <c r="V24" s="201">
        <f t="shared" si="21"/>
        <v>0</v>
      </c>
      <c r="W24" s="201">
        <f t="shared" si="21"/>
        <v>0</v>
      </c>
      <c r="X24" s="201">
        <f t="shared" si="21"/>
        <v>0</v>
      </c>
      <c r="Y24" s="201">
        <f t="shared" si="21"/>
        <v>0</v>
      </c>
      <c r="Z24" s="201">
        <f t="shared" si="21"/>
        <v>0</v>
      </c>
      <c r="AA24" s="201">
        <f t="shared" si="21"/>
        <v>0</v>
      </c>
      <c r="AB24" s="201">
        <f t="shared" si="21"/>
        <v>0</v>
      </c>
      <c r="AC24" s="201">
        <f t="shared" si="21"/>
        <v>0</v>
      </c>
      <c r="AD24" s="201">
        <f t="shared" si="21"/>
        <v>0</v>
      </c>
      <c r="AE24" s="201">
        <f t="shared" si="21"/>
        <v>0</v>
      </c>
      <c r="AF24" s="201">
        <f t="shared" si="21"/>
        <v>460.9</v>
      </c>
      <c r="AG24" s="201">
        <f t="shared" si="21"/>
        <v>0</v>
      </c>
      <c r="AH24" s="283"/>
      <c r="AI24" s="279"/>
    </row>
    <row r="25" spans="1:35" s="26" customFormat="1" ht="165.75" customHeight="1" x14ac:dyDescent="0.25">
      <c r="A25" s="413"/>
      <c r="B25" s="538"/>
      <c r="C25" s="73" t="s">
        <v>21</v>
      </c>
      <c r="D25" s="74">
        <f>SUM(J25,L25,N25,P25,R25,T25,V25,X25,Z25,AB25,AD25,AF25)</f>
        <v>460.9</v>
      </c>
      <c r="E25" s="74">
        <v>460.9</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t="s">
        <v>460</v>
      </c>
      <c r="AI25" s="24"/>
    </row>
    <row r="26" spans="1:35" ht="15.75" x14ac:dyDescent="0.25">
      <c r="A26" s="91"/>
      <c r="B26" s="415" t="s">
        <v>82</v>
      </c>
      <c r="C26" s="416"/>
      <c r="D26" s="416"/>
      <c r="E26" s="416"/>
      <c r="F26" s="416"/>
      <c r="G26" s="416"/>
      <c r="H26" s="416"/>
      <c r="I26" s="416"/>
      <c r="J26" s="416"/>
      <c r="K26" s="416"/>
      <c r="L26" s="416"/>
      <c r="M26" s="416"/>
      <c r="N26" s="416"/>
      <c r="O26" s="416"/>
      <c r="P26" s="416"/>
      <c r="Q26" s="416"/>
      <c r="R26" s="416"/>
      <c r="S26" s="416"/>
      <c r="T26" s="416"/>
      <c r="U26" s="416"/>
      <c r="V26" s="416"/>
      <c r="W26" s="416"/>
      <c r="X26" s="416"/>
      <c r="Y26" s="416"/>
      <c r="Z26" s="416"/>
      <c r="AA26" s="416"/>
      <c r="AB26" s="416"/>
      <c r="AC26" s="416"/>
      <c r="AD26" s="416"/>
      <c r="AE26" s="416"/>
      <c r="AF26" s="416"/>
      <c r="AG26" s="417"/>
      <c r="AH26" s="92"/>
    </row>
    <row r="27" spans="1:35" s="278" customFormat="1" ht="31.5" customHeight="1" x14ac:dyDescent="0.25">
      <c r="A27" s="423" t="s">
        <v>63</v>
      </c>
      <c r="B27" s="459" t="s">
        <v>83</v>
      </c>
      <c r="C27" s="275" t="s">
        <v>20</v>
      </c>
      <c r="D27" s="202">
        <f>D29+D30+D28</f>
        <v>93790.200000000012</v>
      </c>
      <c r="E27" s="202">
        <f t="shared" ref="E27:G27" si="22">E29+E30+E28</f>
        <v>93790.200000000012</v>
      </c>
      <c r="F27" s="202">
        <f t="shared" si="22"/>
        <v>93790.200000000012</v>
      </c>
      <c r="G27" s="202">
        <f t="shared" si="22"/>
        <v>93790.200000000012</v>
      </c>
      <c r="H27" s="202">
        <f t="shared" ref="H27:H30" si="23">IFERROR(G27/D27*100,0)</f>
        <v>100</v>
      </c>
      <c r="I27" s="202">
        <f t="shared" ref="I27:I30" si="24">IFERROR(G27/E27*100,0)</f>
        <v>100</v>
      </c>
      <c r="J27" s="202">
        <f t="shared" ref="J27:AG27" si="25">J29+J30+J28</f>
        <v>0</v>
      </c>
      <c r="K27" s="202">
        <f t="shared" si="25"/>
        <v>0</v>
      </c>
      <c r="L27" s="202">
        <f t="shared" si="25"/>
        <v>0</v>
      </c>
      <c r="M27" s="202">
        <f t="shared" si="25"/>
        <v>0</v>
      </c>
      <c r="N27" s="202">
        <f t="shared" si="25"/>
        <v>0</v>
      </c>
      <c r="O27" s="202">
        <f t="shared" si="25"/>
        <v>0</v>
      </c>
      <c r="P27" s="202">
        <f t="shared" si="25"/>
        <v>0</v>
      </c>
      <c r="Q27" s="202">
        <f t="shared" si="25"/>
        <v>0</v>
      </c>
      <c r="R27" s="202">
        <f t="shared" si="25"/>
        <v>0</v>
      </c>
      <c r="S27" s="202">
        <f t="shared" si="25"/>
        <v>0</v>
      </c>
      <c r="T27" s="202">
        <f t="shared" si="25"/>
        <v>0</v>
      </c>
      <c r="U27" s="202">
        <f t="shared" si="25"/>
        <v>0</v>
      </c>
      <c r="V27" s="202">
        <f t="shared" si="25"/>
        <v>0</v>
      </c>
      <c r="W27" s="202">
        <f t="shared" si="25"/>
        <v>0</v>
      </c>
      <c r="X27" s="202">
        <f t="shared" si="25"/>
        <v>0</v>
      </c>
      <c r="Y27" s="202">
        <f t="shared" si="25"/>
        <v>0</v>
      </c>
      <c r="Z27" s="202">
        <f t="shared" si="25"/>
        <v>0</v>
      </c>
      <c r="AA27" s="202">
        <f t="shared" si="25"/>
        <v>0</v>
      </c>
      <c r="AB27" s="202">
        <f t="shared" si="25"/>
        <v>0</v>
      </c>
      <c r="AC27" s="202">
        <f t="shared" si="25"/>
        <v>0</v>
      </c>
      <c r="AD27" s="202">
        <f t="shared" si="25"/>
        <v>54262.32</v>
      </c>
      <c r="AE27" s="202">
        <f t="shared" si="25"/>
        <v>54262.32</v>
      </c>
      <c r="AF27" s="202">
        <f t="shared" si="25"/>
        <v>39527.879999999997</v>
      </c>
      <c r="AG27" s="202">
        <f t="shared" si="25"/>
        <v>39527.879999999997</v>
      </c>
      <c r="AH27" s="276"/>
      <c r="AI27" s="277"/>
    </row>
    <row r="28" spans="1:35" s="21" customFormat="1" ht="42.75" hidden="1" customHeight="1" x14ac:dyDescent="0.25">
      <c r="A28" s="424"/>
      <c r="B28" s="460"/>
      <c r="C28" s="61" t="s">
        <v>52</v>
      </c>
      <c r="D28" s="62">
        <f>SUM(J28,L28,N28,P28,R28,T28,V28,X28,Z28,AB28,AD28,AF28)</f>
        <v>0</v>
      </c>
      <c r="E28" s="62">
        <f>J28</f>
        <v>0</v>
      </c>
      <c r="F28" s="62">
        <f>G28</f>
        <v>0</v>
      </c>
      <c r="G28" s="62">
        <f>SUM(K28,M28,O28,Q28,S28,U28,W28,Y28,AA28,AC28,AE28,AG28)</f>
        <v>0</v>
      </c>
      <c r="H28" s="62">
        <f t="shared" si="23"/>
        <v>0</v>
      </c>
      <c r="I28" s="62">
        <f t="shared" si="24"/>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24"/>
      <c r="B29" s="460"/>
      <c r="C29" s="61" t="s">
        <v>22</v>
      </c>
      <c r="D29" s="62">
        <f>SUM(J29,L29,N29,P29,R29,T29,V29,X29,Z29,AB29,AD29,AF29)</f>
        <v>75032.100000000006</v>
      </c>
      <c r="E29" s="62">
        <v>75032.100000000006</v>
      </c>
      <c r="F29" s="62">
        <v>75032.100000000006</v>
      </c>
      <c r="G29" s="62">
        <v>75032.100000000006</v>
      </c>
      <c r="H29" s="62">
        <f t="shared" si="23"/>
        <v>100</v>
      </c>
      <c r="I29" s="62">
        <f t="shared" si="24"/>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31622.25</v>
      </c>
      <c r="AH29" s="60"/>
      <c r="AI29" s="23"/>
    </row>
    <row r="30" spans="1:35" s="22" customFormat="1" ht="108" customHeight="1" x14ac:dyDescent="0.25">
      <c r="A30" s="425"/>
      <c r="B30" s="461"/>
      <c r="C30" s="61" t="s">
        <v>21</v>
      </c>
      <c r="D30" s="62">
        <f>SUM(J30,L30,N30,P30,R30,T30,V30,X30,Z30,AB30,AD30,AF30)</f>
        <v>18758.099999999999</v>
      </c>
      <c r="E30" s="62">
        <v>18758.099999999999</v>
      </c>
      <c r="F30" s="62">
        <v>18758.099999999999</v>
      </c>
      <c r="G30" s="62">
        <v>18758.099999999999</v>
      </c>
      <c r="H30" s="62">
        <f t="shared" si="23"/>
        <v>100</v>
      </c>
      <c r="I30" s="62">
        <f t="shared" si="24"/>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7905.63</v>
      </c>
      <c r="AH30" s="64"/>
      <c r="AI30" s="20"/>
    </row>
  </sheetData>
  <customSheetViews>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C282AA4E-1BB5-4296-9AC6-844C0F88E5FC}" scale="80" hiddenRows="1">
      <pane xSplit="6" ySplit="7" topLeftCell="N11" activePane="bottomRight" state="frozen"/>
      <selection pane="bottomRight" activeCell="J29" sqref="J29"/>
      <pageMargins left="0.7" right="0.7" top="0.75" bottom="0.75" header="0.3" footer="0.3"/>
      <pageSetup paperSize="9" orientation="portrait" r:id="rId2"/>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3"/>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4"/>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5"/>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9"/>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1"/>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4"/>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6"/>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20"/>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22"/>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24"/>
    </customSheetView>
    <customSheetView guid="{2940A182-D1A7-43C5-8D6E-965BED4371B0}" scale="80" hiddenRows="1">
      <pane xSplit="6" ySplit="7" topLeftCell="G8" activePane="bottomRight" state="frozen"/>
      <selection pane="bottomRight" activeCell="J29" sqref="J29"/>
      <pageMargins left="0.7" right="0.7" top="0.75" bottom="0.75" header="0.3" footer="0.3"/>
      <pageSetup paperSize="9" orientation="portrait" r:id="rId25"/>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26"/>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27"/>
    </customSheetView>
    <customSheetView guid="{30B635D9-57DB-47D5-8A0F-4B30DD769960}" scale="80" hiddenRows="1">
      <pane xSplit="6" ySplit="7" topLeftCell="G13" activePane="bottomRight" state="frozen"/>
      <selection pane="bottomRight" activeCell="E15" sqref="E15"/>
      <pageMargins left="0.7" right="0.7" top="0.75" bottom="0.75" header="0.3" footer="0.3"/>
      <pageSetup paperSize="9" orientation="portrait" r:id="rId28"/>
    </customSheetView>
  </customSheetViews>
  <mergeCells count="38">
    <mergeCell ref="A27:A30"/>
    <mergeCell ref="B27:B30"/>
    <mergeCell ref="A17:A20"/>
    <mergeCell ref="B17:B20"/>
    <mergeCell ref="A21:A22"/>
    <mergeCell ref="B21:B22"/>
    <mergeCell ref="B23:AG23"/>
    <mergeCell ref="A24:A25"/>
    <mergeCell ref="B24:B25"/>
    <mergeCell ref="B26:AG26"/>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Лукманова Эльвира Наильевна</cp:lastModifiedBy>
  <cp:lastPrinted>2025-11-06T12:29:32Z</cp:lastPrinted>
  <dcterms:created xsi:type="dcterms:W3CDTF">2025-01-13T06:45:30Z</dcterms:created>
  <dcterms:modified xsi:type="dcterms:W3CDTF">2026-01-20T06:09:34Z</dcterms:modified>
</cp:coreProperties>
</file>