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65" windowWidth="14805" windowHeight="5850" firstSheet="2" activeTab="2"/>
  </bookViews>
  <sheets>
    <sheet name="Лист1" sheetId="2" state="hidden" r:id="rId1"/>
    <sheet name="Лист2" sheetId="3" state="hidden" r:id="rId2"/>
    <sheet name="сетевой 2019 " sheetId="18" r:id="rId3"/>
  </sheets>
  <definedNames>
    <definedName name="_xlnm.Print_Titles" localSheetId="2">'сетевой 2019 '!$A:$A,'сетевой 2019 '!$4:$5</definedName>
    <definedName name="_xlnm.Print_Area" localSheetId="2">'сетевой 2019 '!$A$2:$AF$244</definedName>
  </definedNames>
  <calcPr calcId="145621"/>
</workbook>
</file>

<file path=xl/calcChain.xml><?xml version="1.0" encoding="utf-8"?>
<calcChain xmlns="http://schemas.openxmlformats.org/spreadsheetml/2006/main">
  <c r="AE74" i="18" l="1"/>
  <c r="AE95" i="18"/>
  <c r="AE105" i="18"/>
  <c r="AE107" i="18"/>
  <c r="AE97" i="18"/>
  <c r="AE94" i="18" l="1"/>
  <c r="AE85" i="18"/>
  <c r="AE84" i="18"/>
  <c r="C75" i="18" l="1"/>
  <c r="D74" i="18"/>
  <c r="D172" i="18" l="1"/>
  <c r="D166" i="18"/>
  <c r="D87" i="18" l="1"/>
  <c r="D77" i="18" l="1"/>
  <c r="D70" i="18"/>
  <c r="D69" i="18"/>
  <c r="D67" i="18"/>
  <c r="D65" i="18"/>
  <c r="AE65" i="18" l="1"/>
  <c r="AE64" i="18"/>
  <c r="D64" i="18"/>
  <c r="AE36" i="18" l="1"/>
  <c r="AE35" i="18"/>
  <c r="D35" i="18"/>
  <c r="J30" i="18"/>
  <c r="D19" i="18"/>
  <c r="AD172" i="18" l="1"/>
  <c r="Z172" i="18"/>
  <c r="X172" i="18"/>
  <c r="P172" i="18"/>
  <c r="N172" i="18"/>
  <c r="AE172" i="18"/>
  <c r="C213" i="18"/>
  <c r="C117" i="18"/>
  <c r="C115" i="18"/>
  <c r="C114" i="18"/>
  <c r="C107" i="18"/>
  <c r="C105" i="18"/>
  <c r="C104" i="18"/>
  <c r="C97" i="18"/>
  <c r="C95" i="18"/>
  <c r="C94" i="18"/>
  <c r="C87" i="18"/>
  <c r="C85" i="18"/>
  <c r="C84" i="18"/>
  <c r="C77" i="18"/>
  <c r="C74" i="18"/>
  <c r="C67" i="18"/>
  <c r="C65" i="18"/>
  <c r="C64" i="18"/>
  <c r="C49" i="18"/>
  <c r="C47" i="18"/>
  <c r="C172" i="18" l="1"/>
  <c r="C30" i="18"/>
  <c r="C28" i="18"/>
  <c r="C26" i="18"/>
  <c r="C25" i="18"/>
  <c r="AC105" i="18" l="1"/>
  <c r="AC94" i="18" l="1"/>
  <c r="AC84" i="18"/>
  <c r="AC67" i="18" l="1"/>
  <c r="AC65" i="18"/>
  <c r="AA65" i="18"/>
  <c r="Y67" i="18"/>
  <c r="Y65" i="18"/>
  <c r="W67" i="18"/>
  <c r="W65" i="18"/>
  <c r="AC64" i="18" l="1"/>
  <c r="AC36" i="18" l="1"/>
  <c r="AC35" i="18"/>
  <c r="V172" i="18" l="1"/>
  <c r="D36" i="18"/>
  <c r="C36" i="18" l="1"/>
  <c r="C35" i="18"/>
  <c r="AA64" i="18" l="1"/>
  <c r="AA107" i="18" l="1"/>
  <c r="X100" i="18" l="1"/>
  <c r="X93" i="18"/>
  <c r="AA85" i="18"/>
  <c r="AA115" i="18"/>
  <c r="AA95" i="18"/>
  <c r="AA35" i="18" l="1"/>
  <c r="E35" i="18"/>
  <c r="AA36" i="18"/>
  <c r="AA172" i="18" l="1"/>
  <c r="D47" i="18" l="1"/>
  <c r="D43" i="18"/>
  <c r="D25" i="18"/>
  <c r="C20" i="18"/>
  <c r="C19" i="18"/>
  <c r="AD105" i="18" l="1"/>
  <c r="AB172" i="18" l="1"/>
  <c r="AD75" i="18"/>
  <c r="AD74" i="18"/>
  <c r="AB74" i="18"/>
  <c r="Z74" i="18"/>
  <c r="X74" i="18"/>
  <c r="R74" i="18"/>
  <c r="P74" i="18"/>
  <c r="C43" i="18"/>
  <c r="Y64" i="18" l="1"/>
  <c r="Y36" i="18"/>
  <c r="Y35" i="18"/>
  <c r="Y26" i="18"/>
  <c r="Y25" i="18"/>
  <c r="AD114" i="18"/>
  <c r="AD104" i="18"/>
  <c r="AD94" i="18"/>
  <c r="AD84" i="18"/>
  <c r="AB64" i="18"/>
  <c r="Z64" i="18"/>
  <c r="X64" i="18"/>
  <c r="V64" i="18"/>
  <c r="N74" i="18"/>
  <c r="L74" i="18"/>
  <c r="J74" i="18"/>
  <c r="AB35" i="18" l="1"/>
  <c r="V25" i="18"/>
  <c r="E84" i="18" l="1"/>
  <c r="D84" i="18" s="1"/>
  <c r="W64" i="18" l="1"/>
  <c r="D58" i="18" l="1"/>
  <c r="D49" i="18"/>
  <c r="D30" i="18"/>
  <c r="D20" i="18" s="1"/>
  <c r="D28" i="18"/>
  <c r="D26" i="18"/>
  <c r="V49" i="18"/>
  <c r="V47" i="18"/>
  <c r="W26" i="18"/>
  <c r="W49" i="18"/>
  <c r="W47" i="18"/>
  <c r="W25" i="18"/>
  <c r="D213" i="18"/>
  <c r="V213" i="18"/>
  <c r="U26" i="18"/>
  <c r="U25" i="18"/>
  <c r="E172" i="18" l="1"/>
  <c r="C166" i="18" l="1"/>
  <c r="U123" i="18" l="1"/>
  <c r="B115" i="18"/>
  <c r="B74" i="18" l="1"/>
  <c r="C69" i="18" l="1"/>
  <c r="U67" i="18"/>
  <c r="U65" i="18"/>
  <c r="U64" i="18"/>
  <c r="E49" i="18" l="1"/>
  <c r="E25" i="18"/>
  <c r="U49" i="18"/>
  <c r="U47" i="18"/>
  <c r="AD97" i="18" l="1"/>
  <c r="AD107" i="18"/>
  <c r="R117" i="18" l="1"/>
  <c r="X97" i="18"/>
  <c r="R97" i="18"/>
  <c r="P97" i="18"/>
  <c r="P85" i="18"/>
  <c r="E87" i="18" l="1"/>
  <c r="S67" i="18" l="1"/>
  <c r="S65" i="18"/>
  <c r="S64" i="18"/>
  <c r="S47" i="18"/>
  <c r="S49" i="18"/>
  <c r="S26" i="18"/>
  <c r="S25" i="18"/>
  <c r="R64" i="18"/>
  <c r="R47" i="18" l="1"/>
  <c r="L49" i="18" l="1"/>
  <c r="AB36" i="18"/>
  <c r="V26" i="18"/>
  <c r="L28" i="18"/>
  <c r="H227" i="18"/>
  <c r="I227" i="18"/>
  <c r="I225" i="18" s="1"/>
  <c r="I224" i="18" s="1"/>
  <c r="J227" i="18"/>
  <c r="J225" i="18" s="1"/>
  <c r="J224" i="18" s="1"/>
  <c r="K227" i="18"/>
  <c r="L227" i="18"/>
  <c r="M227" i="18"/>
  <c r="M225" i="18" s="1"/>
  <c r="M224" i="18" s="1"/>
  <c r="N227" i="18"/>
  <c r="N225" i="18" s="1"/>
  <c r="N224" i="18" s="1"/>
  <c r="O227" i="18"/>
  <c r="P227" i="18"/>
  <c r="Q227" i="18"/>
  <c r="Q225" i="18" s="1"/>
  <c r="Q224" i="18" s="1"/>
  <c r="R227" i="18"/>
  <c r="R225" i="18" s="1"/>
  <c r="R224" i="18" s="1"/>
  <c r="S227" i="18"/>
  <c r="T227" i="18"/>
  <c r="U227" i="18"/>
  <c r="U225" i="18" s="1"/>
  <c r="U224" i="18" s="1"/>
  <c r="W227" i="18"/>
  <c r="X227" i="18"/>
  <c r="AA227" i="18"/>
  <c r="AB227" i="18"/>
  <c r="AC227" i="18"/>
  <c r="AC225" i="18" s="1"/>
  <c r="AC224" i="18" s="1"/>
  <c r="AD227" i="18"/>
  <c r="AD225" i="18" s="1"/>
  <c r="AD224" i="18" s="1"/>
  <c r="AE227" i="18"/>
  <c r="H228" i="18"/>
  <c r="I228" i="18"/>
  <c r="J228" i="18"/>
  <c r="K228" i="18"/>
  <c r="L228" i="18"/>
  <c r="M228" i="18"/>
  <c r="N228" i="18"/>
  <c r="O228" i="18"/>
  <c r="P228" i="18"/>
  <c r="Q228" i="18"/>
  <c r="R228" i="18"/>
  <c r="S228" i="18"/>
  <c r="T228" i="18"/>
  <c r="U228" i="18"/>
  <c r="V228" i="18"/>
  <c r="W228" i="18"/>
  <c r="X228" i="18"/>
  <c r="Y228" i="18"/>
  <c r="Z228" i="18"/>
  <c r="AA228" i="18"/>
  <c r="AB228" i="18"/>
  <c r="AC228" i="18"/>
  <c r="AD228" i="18"/>
  <c r="AE228" i="18"/>
  <c r="H229" i="18"/>
  <c r="I229" i="18"/>
  <c r="J229" i="18"/>
  <c r="K229" i="18"/>
  <c r="L229" i="18"/>
  <c r="M229" i="18"/>
  <c r="N229" i="18"/>
  <c r="O229" i="18"/>
  <c r="P229" i="18"/>
  <c r="Q229" i="18"/>
  <c r="R229" i="18"/>
  <c r="S229" i="18"/>
  <c r="T229" i="18"/>
  <c r="U229" i="18"/>
  <c r="V229" i="18"/>
  <c r="W229" i="18"/>
  <c r="X229" i="18"/>
  <c r="Y229" i="18"/>
  <c r="Z229" i="18"/>
  <c r="AA229" i="18"/>
  <c r="AB229" i="18"/>
  <c r="AC229" i="18"/>
  <c r="AD229" i="18"/>
  <c r="AE229" i="18"/>
  <c r="H230" i="18"/>
  <c r="I230" i="18"/>
  <c r="J230" i="18"/>
  <c r="K230" i="18"/>
  <c r="L230" i="18"/>
  <c r="M230" i="18"/>
  <c r="N230" i="18"/>
  <c r="O230" i="18"/>
  <c r="P230" i="18"/>
  <c r="Q230" i="18"/>
  <c r="R230" i="18"/>
  <c r="S230" i="18"/>
  <c r="T230" i="18"/>
  <c r="U230" i="18"/>
  <c r="V230" i="18"/>
  <c r="W230" i="18"/>
  <c r="X230" i="18"/>
  <c r="Y230" i="18"/>
  <c r="Z230" i="18"/>
  <c r="AA230" i="18"/>
  <c r="AB230" i="18"/>
  <c r="AC230" i="18"/>
  <c r="AD230" i="18"/>
  <c r="AE230" i="18"/>
  <c r="I226" i="18"/>
  <c r="J226" i="18"/>
  <c r="K226" i="18"/>
  <c r="L226" i="18"/>
  <c r="M226" i="18"/>
  <c r="N226" i="18"/>
  <c r="O226" i="18"/>
  <c r="P226" i="18"/>
  <c r="Q226" i="18"/>
  <c r="R226" i="18"/>
  <c r="S226" i="18"/>
  <c r="T226" i="18"/>
  <c r="U226" i="18"/>
  <c r="V226" i="18"/>
  <c r="W226" i="18"/>
  <c r="X226" i="18"/>
  <c r="Y226" i="18"/>
  <c r="Z226" i="18"/>
  <c r="AA226" i="18"/>
  <c r="AB226" i="18"/>
  <c r="AC226" i="18"/>
  <c r="AD226" i="18"/>
  <c r="AE226" i="18"/>
  <c r="H226" i="18"/>
  <c r="H220" i="18"/>
  <c r="I220" i="18"/>
  <c r="I218" i="18" s="1"/>
  <c r="I217" i="18" s="1"/>
  <c r="J220" i="18"/>
  <c r="J218" i="18" s="1"/>
  <c r="J217" i="18" s="1"/>
  <c r="K220" i="18"/>
  <c r="L220" i="18"/>
  <c r="M220" i="18"/>
  <c r="N220" i="18"/>
  <c r="O220" i="18"/>
  <c r="P220" i="18"/>
  <c r="Q220" i="18"/>
  <c r="Q218" i="18" s="1"/>
  <c r="Q217" i="18" s="1"/>
  <c r="R220" i="18"/>
  <c r="R218" i="18" s="1"/>
  <c r="R217" i="18" s="1"/>
  <c r="S220" i="18"/>
  <c r="T220" i="18"/>
  <c r="U220" i="18"/>
  <c r="V220" i="18"/>
  <c r="V227" i="18" s="1"/>
  <c r="V225" i="18" s="1"/>
  <c r="V224" i="18" s="1"/>
  <c r="W220" i="18"/>
  <c r="X220" i="18"/>
  <c r="Y220" i="18"/>
  <c r="Y218" i="18" s="1"/>
  <c r="Y217" i="18" s="1"/>
  <c r="Z220" i="18"/>
  <c r="Z218" i="18" s="1"/>
  <c r="Z217" i="18" s="1"/>
  <c r="AA220" i="18"/>
  <c r="AB220" i="18"/>
  <c r="AC220" i="18"/>
  <c r="AD220" i="18"/>
  <c r="AE220" i="18"/>
  <c r="H221" i="18"/>
  <c r="I221" i="18"/>
  <c r="J221" i="18"/>
  <c r="K221" i="18"/>
  <c r="L221" i="18"/>
  <c r="M221" i="18"/>
  <c r="N221" i="18"/>
  <c r="O221" i="18"/>
  <c r="P221" i="18"/>
  <c r="Q221" i="18"/>
  <c r="R221" i="18"/>
  <c r="S221" i="18"/>
  <c r="T221" i="18"/>
  <c r="U221" i="18"/>
  <c r="V221" i="18"/>
  <c r="W221" i="18"/>
  <c r="X221" i="18"/>
  <c r="Y221" i="18"/>
  <c r="Z221" i="18"/>
  <c r="AA221" i="18"/>
  <c r="AB221" i="18"/>
  <c r="AC221" i="18"/>
  <c r="AD221" i="18"/>
  <c r="AE221" i="18"/>
  <c r="H222" i="18"/>
  <c r="I222" i="18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V222" i="18"/>
  <c r="W222" i="18"/>
  <c r="X222" i="18"/>
  <c r="Y222" i="18"/>
  <c r="Z222" i="18"/>
  <c r="AA222" i="18"/>
  <c r="AB222" i="18"/>
  <c r="AC222" i="18"/>
  <c r="AD222" i="18"/>
  <c r="AE222" i="18"/>
  <c r="H223" i="18"/>
  <c r="I223" i="18"/>
  <c r="J223" i="18"/>
  <c r="K223" i="18"/>
  <c r="L223" i="18"/>
  <c r="M223" i="18"/>
  <c r="N223" i="18"/>
  <c r="O223" i="18"/>
  <c r="P223" i="18"/>
  <c r="Q223" i="18"/>
  <c r="R223" i="18"/>
  <c r="S223" i="18"/>
  <c r="T223" i="18"/>
  <c r="U223" i="18"/>
  <c r="V223" i="18"/>
  <c r="W223" i="18"/>
  <c r="X223" i="18"/>
  <c r="Y223" i="18"/>
  <c r="Z223" i="18"/>
  <c r="AA223" i="18"/>
  <c r="AB223" i="18"/>
  <c r="AC223" i="18"/>
  <c r="AD223" i="18"/>
  <c r="AE223" i="18"/>
  <c r="I219" i="18"/>
  <c r="J219" i="18"/>
  <c r="K219" i="18"/>
  <c r="L219" i="18"/>
  <c r="M219" i="18"/>
  <c r="N219" i="18"/>
  <c r="O219" i="18"/>
  <c r="P219" i="18"/>
  <c r="Q219" i="18"/>
  <c r="R219" i="18"/>
  <c r="S219" i="18"/>
  <c r="T219" i="18"/>
  <c r="U219" i="18"/>
  <c r="V219" i="18"/>
  <c r="W219" i="18"/>
  <c r="X219" i="18"/>
  <c r="Y219" i="18"/>
  <c r="Z219" i="18"/>
  <c r="AA219" i="18"/>
  <c r="AB219" i="18"/>
  <c r="AC219" i="18"/>
  <c r="AD219" i="18"/>
  <c r="AE219" i="18"/>
  <c r="H219" i="18"/>
  <c r="H225" i="18"/>
  <c r="H224" i="18" s="1"/>
  <c r="K225" i="18"/>
  <c r="K224" i="18" s="1"/>
  <c r="L225" i="18"/>
  <c r="L224" i="18" s="1"/>
  <c r="O225" i="18"/>
  <c r="O224" i="18" s="1"/>
  <c r="P225" i="18"/>
  <c r="P224" i="18" s="1"/>
  <c r="S225" i="18"/>
  <c r="S224" i="18" s="1"/>
  <c r="T225" i="18"/>
  <c r="T224" i="18" s="1"/>
  <c r="W225" i="18"/>
  <c r="W224" i="18" s="1"/>
  <c r="X225" i="18"/>
  <c r="X224" i="18" s="1"/>
  <c r="AA225" i="18"/>
  <c r="AA224" i="18" s="1"/>
  <c r="AB225" i="18"/>
  <c r="AB224" i="18" s="1"/>
  <c r="AE225" i="18"/>
  <c r="H13" i="18"/>
  <c r="I13" i="18"/>
  <c r="K13" i="18"/>
  <c r="M13" i="18"/>
  <c r="Q13" i="18"/>
  <c r="T13" i="18"/>
  <c r="Z13" i="18"/>
  <c r="B221" i="18"/>
  <c r="C221" i="18"/>
  <c r="G221" i="18" s="1"/>
  <c r="D221" i="18"/>
  <c r="E221" i="18"/>
  <c r="B222" i="18"/>
  <c r="C222" i="18"/>
  <c r="D222" i="18"/>
  <c r="E222" i="18"/>
  <c r="B223" i="18"/>
  <c r="C223" i="18"/>
  <c r="G223" i="18" s="1"/>
  <c r="D223" i="18"/>
  <c r="E223" i="18"/>
  <c r="C219" i="18"/>
  <c r="G219" i="18" s="1"/>
  <c r="D219" i="18"/>
  <c r="E219" i="18"/>
  <c r="B219" i="18"/>
  <c r="C227" i="18"/>
  <c r="D227" i="18"/>
  <c r="D225" i="18" s="1"/>
  <c r="D224" i="18" s="1"/>
  <c r="B228" i="18"/>
  <c r="F228" i="18" s="1"/>
  <c r="C228" i="18"/>
  <c r="D228" i="18"/>
  <c r="E228" i="18"/>
  <c r="B229" i="18"/>
  <c r="C229" i="18"/>
  <c r="D229" i="18"/>
  <c r="E229" i="18"/>
  <c r="B230" i="18"/>
  <c r="C230" i="18"/>
  <c r="G230" i="18" s="1"/>
  <c r="D230" i="18"/>
  <c r="E230" i="18"/>
  <c r="C226" i="18"/>
  <c r="G226" i="18" s="1"/>
  <c r="D226" i="18"/>
  <c r="E226" i="18"/>
  <c r="B226" i="18"/>
  <c r="H205" i="18"/>
  <c r="I205" i="18"/>
  <c r="J205" i="18"/>
  <c r="K205" i="18"/>
  <c r="L205" i="18"/>
  <c r="L203" i="18" s="1"/>
  <c r="L202" i="18" s="1"/>
  <c r="M205" i="18"/>
  <c r="O205" i="18"/>
  <c r="Q205" i="18"/>
  <c r="R205" i="18"/>
  <c r="T205" i="18"/>
  <c r="AE205" i="18"/>
  <c r="H206" i="18"/>
  <c r="I206" i="18"/>
  <c r="J206" i="18"/>
  <c r="K206" i="18"/>
  <c r="L206" i="18"/>
  <c r="M206" i="18"/>
  <c r="N206" i="18"/>
  <c r="O206" i="18"/>
  <c r="P206" i="18"/>
  <c r="Q206" i="18"/>
  <c r="R206" i="18"/>
  <c r="S206" i="18"/>
  <c r="T206" i="18"/>
  <c r="U206" i="18"/>
  <c r="V206" i="18"/>
  <c r="W206" i="18"/>
  <c r="X206" i="18"/>
  <c r="Y206" i="18"/>
  <c r="Z206" i="18"/>
  <c r="AA206" i="18"/>
  <c r="AB206" i="18"/>
  <c r="AC206" i="18"/>
  <c r="AD206" i="18"/>
  <c r="AE206" i="18"/>
  <c r="H207" i="18"/>
  <c r="I207" i="18"/>
  <c r="J207" i="18"/>
  <c r="K207" i="18"/>
  <c r="L207" i="18"/>
  <c r="M207" i="18"/>
  <c r="N207" i="18"/>
  <c r="O207" i="18"/>
  <c r="P207" i="18"/>
  <c r="Q207" i="18"/>
  <c r="R207" i="18"/>
  <c r="S207" i="18"/>
  <c r="T207" i="18"/>
  <c r="U207" i="18"/>
  <c r="V207" i="18"/>
  <c r="W207" i="18"/>
  <c r="X207" i="18"/>
  <c r="Y207" i="18"/>
  <c r="Z207" i="18"/>
  <c r="AA207" i="18"/>
  <c r="AB207" i="18"/>
  <c r="AC207" i="18"/>
  <c r="AD207" i="18"/>
  <c r="AE207" i="18"/>
  <c r="H208" i="18"/>
  <c r="I208" i="18"/>
  <c r="J208" i="18"/>
  <c r="K208" i="18"/>
  <c r="L208" i="18"/>
  <c r="M208" i="18"/>
  <c r="N208" i="18"/>
  <c r="O208" i="18"/>
  <c r="P208" i="18"/>
  <c r="Q208" i="18"/>
  <c r="R208" i="18"/>
  <c r="S208" i="18"/>
  <c r="T208" i="18"/>
  <c r="U208" i="18"/>
  <c r="V208" i="18"/>
  <c r="W208" i="18"/>
  <c r="X208" i="18"/>
  <c r="Y208" i="18"/>
  <c r="Z208" i="18"/>
  <c r="AA208" i="18"/>
  <c r="AB208" i="18"/>
  <c r="AC208" i="18"/>
  <c r="AD208" i="18"/>
  <c r="AE208" i="18"/>
  <c r="I204" i="18"/>
  <c r="J204" i="18"/>
  <c r="K204" i="18"/>
  <c r="L204" i="18"/>
  <c r="M204" i="18"/>
  <c r="N204" i="18"/>
  <c r="O204" i="18"/>
  <c r="P204" i="18"/>
  <c r="Q204" i="18"/>
  <c r="R204" i="18"/>
  <c r="S204" i="18"/>
  <c r="T204" i="18"/>
  <c r="U204" i="18"/>
  <c r="V204" i="18"/>
  <c r="W204" i="18"/>
  <c r="X204" i="18"/>
  <c r="Y204" i="18"/>
  <c r="Z204" i="18"/>
  <c r="AA204" i="18"/>
  <c r="AB204" i="18"/>
  <c r="AC204" i="18"/>
  <c r="AD204" i="18"/>
  <c r="AE204" i="18"/>
  <c r="H204" i="18"/>
  <c r="B206" i="18"/>
  <c r="C206" i="18"/>
  <c r="D206" i="18"/>
  <c r="E206" i="18"/>
  <c r="B207" i="18"/>
  <c r="C207" i="18"/>
  <c r="D207" i="18"/>
  <c r="E207" i="18"/>
  <c r="B208" i="18"/>
  <c r="C208" i="18"/>
  <c r="G208" i="18" s="1"/>
  <c r="D208" i="18"/>
  <c r="E208" i="18"/>
  <c r="C204" i="18"/>
  <c r="D204" i="18"/>
  <c r="E204" i="18"/>
  <c r="G204" i="18" s="1"/>
  <c r="B204" i="18"/>
  <c r="H198" i="18"/>
  <c r="I198" i="18"/>
  <c r="I196" i="18" s="1"/>
  <c r="I195" i="18" s="1"/>
  <c r="J198" i="18"/>
  <c r="K198" i="18"/>
  <c r="L198" i="18"/>
  <c r="L196" i="18" s="1"/>
  <c r="L195" i="18" s="1"/>
  <c r="M198" i="18"/>
  <c r="O198" i="18"/>
  <c r="Q198" i="18"/>
  <c r="R198" i="18"/>
  <c r="T198" i="18"/>
  <c r="AE198" i="18"/>
  <c r="H199" i="18"/>
  <c r="I199" i="18"/>
  <c r="J199" i="18"/>
  <c r="K199" i="18"/>
  <c r="L199" i="18"/>
  <c r="M199" i="18"/>
  <c r="N199" i="18"/>
  <c r="O199" i="18"/>
  <c r="P199" i="18"/>
  <c r="Q199" i="18"/>
  <c r="R199" i="18"/>
  <c r="S199" i="18"/>
  <c r="T199" i="18"/>
  <c r="U199" i="18"/>
  <c r="V199" i="18"/>
  <c r="W199" i="18"/>
  <c r="X199" i="18"/>
  <c r="Y199" i="18"/>
  <c r="Z199" i="18"/>
  <c r="AA199" i="18"/>
  <c r="AB199" i="18"/>
  <c r="AC199" i="18"/>
  <c r="AD199" i="18"/>
  <c r="AE199" i="18"/>
  <c r="H200" i="18"/>
  <c r="I200" i="18"/>
  <c r="J200" i="18"/>
  <c r="K200" i="18"/>
  <c r="L200" i="18"/>
  <c r="M200" i="18"/>
  <c r="N200" i="18"/>
  <c r="O200" i="18"/>
  <c r="P200" i="18"/>
  <c r="Q200" i="18"/>
  <c r="R200" i="18"/>
  <c r="S200" i="18"/>
  <c r="T200" i="18"/>
  <c r="U200" i="18"/>
  <c r="V200" i="18"/>
  <c r="W200" i="18"/>
  <c r="X200" i="18"/>
  <c r="Y200" i="18"/>
  <c r="Z200" i="18"/>
  <c r="AA200" i="18"/>
  <c r="AB200" i="18"/>
  <c r="AC200" i="18"/>
  <c r="AD200" i="18"/>
  <c r="AE200" i="18"/>
  <c r="H201" i="18"/>
  <c r="I201" i="18"/>
  <c r="J201" i="18"/>
  <c r="K201" i="18"/>
  <c r="L201" i="18"/>
  <c r="M201" i="18"/>
  <c r="N201" i="18"/>
  <c r="O201" i="18"/>
  <c r="P201" i="18"/>
  <c r="Q201" i="18"/>
  <c r="R201" i="18"/>
  <c r="S201" i="18"/>
  <c r="T201" i="18"/>
  <c r="U201" i="18"/>
  <c r="V201" i="18"/>
  <c r="W201" i="18"/>
  <c r="X201" i="18"/>
  <c r="Y201" i="18"/>
  <c r="Z201" i="18"/>
  <c r="AA201" i="18"/>
  <c r="AB201" i="18"/>
  <c r="AC201" i="18"/>
  <c r="AD201" i="18"/>
  <c r="AE201" i="18"/>
  <c r="I197" i="18"/>
  <c r="J197" i="18"/>
  <c r="K197" i="18"/>
  <c r="L197" i="18"/>
  <c r="M197" i="18"/>
  <c r="N197" i="18"/>
  <c r="O197" i="18"/>
  <c r="P197" i="18"/>
  <c r="Q197" i="18"/>
  <c r="R197" i="18"/>
  <c r="S197" i="18"/>
  <c r="T197" i="18"/>
  <c r="U197" i="18"/>
  <c r="V197" i="18"/>
  <c r="W197" i="18"/>
  <c r="X197" i="18"/>
  <c r="Y197" i="18"/>
  <c r="Z197" i="18"/>
  <c r="AA197" i="18"/>
  <c r="AB197" i="18"/>
  <c r="AC197" i="18"/>
  <c r="AD197" i="18"/>
  <c r="AE197" i="18"/>
  <c r="H197" i="18"/>
  <c r="D198" i="18"/>
  <c r="D205" i="18" s="1"/>
  <c r="B199" i="18"/>
  <c r="C199" i="18"/>
  <c r="D199" i="18"/>
  <c r="E199" i="18"/>
  <c r="B200" i="18"/>
  <c r="F200" i="18" s="1"/>
  <c r="C200" i="18"/>
  <c r="D200" i="18"/>
  <c r="E200" i="18"/>
  <c r="B201" i="18"/>
  <c r="C201" i="18"/>
  <c r="G201" i="18" s="1"/>
  <c r="D201" i="18"/>
  <c r="E201" i="18"/>
  <c r="C197" i="18"/>
  <c r="D197" i="18"/>
  <c r="E197" i="18"/>
  <c r="F197" i="18" s="1"/>
  <c r="B197" i="18"/>
  <c r="H158" i="18"/>
  <c r="I158" i="18"/>
  <c r="K158" i="18"/>
  <c r="M158" i="18"/>
  <c r="O158" i="18"/>
  <c r="Q158" i="18"/>
  <c r="T158" i="18"/>
  <c r="H160" i="18"/>
  <c r="I160" i="18"/>
  <c r="J160" i="18"/>
  <c r="K160" i="18"/>
  <c r="L160" i="18"/>
  <c r="M160" i="18"/>
  <c r="N160" i="18"/>
  <c r="O160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AB160" i="18"/>
  <c r="AC160" i="18"/>
  <c r="AD160" i="18"/>
  <c r="AE160" i="18"/>
  <c r="H161" i="18"/>
  <c r="I161" i="18"/>
  <c r="J161" i="18"/>
  <c r="K161" i="18"/>
  <c r="L161" i="18"/>
  <c r="M161" i="18"/>
  <c r="N161" i="18"/>
  <c r="O161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D161" i="18"/>
  <c r="AE161" i="18"/>
  <c r="I157" i="18"/>
  <c r="J157" i="18"/>
  <c r="K157" i="18"/>
  <c r="L157" i="18"/>
  <c r="M157" i="18"/>
  <c r="N157" i="18"/>
  <c r="O157" i="18"/>
  <c r="P157" i="18"/>
  <c r="Q157" i="18"/>
  <c r="R157" i="18"/>
  <c r="S157" i="18"/>
  <c r="T157" i="18"/>
  <c r="U157" i="18"/>
  <c r="V157" i="18"/>
  <c r="W157" i="18"/>
  <c r="X157" i="18"/>
  <c r="Y157" i="18"/>
  <c r="Z157" i="18"/>
  <c r="AA157" i="18"/>
  <c r="AB157" i="18"/>
  <c r="AC157" i="18"/>
  <c r="AD157" i="18"/>
  <c r="AE157" i="18"/>
  <c r="H157" i="18"/>
  <c r="B160" i="18"/>
  <c r="C160" i="18"/>
  <c r="D160" i="18"/>
  <c r="E160" i="18"/>
  <c r="B161" i="18"/>
  <c r="C161" i="18"/>
  <c r="D161" i="18"/>
  <c r="E161" i="18"/>
  <c r="G161" i="18" s="1"/>
  <c r="C157" i="18"/>
  <c r="D157" i="18"/>
  <c r="E157" i="18"/>
  <c r="B157" i="18"/>
  <c r="H150" i="18"/>
  <c r="I150" i="18"/>
  <c r="K150" i="18"/>
  <c r="M150" i="18"/>
  <c r="O150" i="18"/>
  <c r="Q150" i="18"/>
  <c r="T150" i="18"/>
  <c r="H151" i="18"/>
  <c r="H159" i="18" s="1"/>
  <c r="I151" i="18"/>
  <c r="I159" i="18" s="1"/>
  <c r="K151" i="18"/>
  <c r="K159" i="18" s="1"/>
  <c r="M151" i="18"/>
  <c r="M159" i="18" s="1"/>
  <c r="Q151" i="18"/>
  <c r="Q159" i="18" s="1"/>
  <c r="T151" i="18"/>
  <c r="T159" i="18" s="1"/>
  <c r="Z151" i="18"/>
  <c r="Z159" i="18" s="1"/>
  <c r="H152" i="18"/>
  <c r="I152" i="18"/>
  <c r="J152" i="18"/>
  <c r="K152" i="18"/>
  <c r="L152" i="18"/>
  <c r="M152" i="18"/>
  <c r="N152" i="18"/>
  <c r="O152" i="18"/>
  <c r="P152" i="18"/>
  <c r="Q152" i="18"/>
  <c r="R152" i="18"/>
  <c r="S152" i="18"/>
  <c r="T152" i="18"/>
  <c r="U152" i="18"/>
  <c r="V152" i="18"/>
  <c r="W152" i="18"/>
  <c r="X152" i="18"/>
  <c r="Y152" i="18"/>
  <c r="Z152" i="18"/>
  <c r="AA152" i="18"/>
  <c r="AB152" i="18"/>
  <c r="AC152" i="18"/>
  <c r="AD152" i="18"/>
  <c r="AE152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D153" i="18"/>
  <c r="AE153" i="18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AB154" i="18"/>
  <c r="AC154" i="18"/>
  <c r="AD154" i="18"/>
  <c r="AE154" i="18"/>
  <c r="I149" i="18"/>
  <c r="J149" i="18"/>
  <c r="K149" i="18"/>
  <c r="L149" i="18"/>
  <c r="M149" i="18"/>
  <c r="N149" i="18"/>
  <c r="O149" i="18"/>
  <c r="P149" i="18"/>
  <c r="Q149" i="18"/>
  <c r="R149" i="18"/>
  <c r="S149" i="18"/>
  <c r="T149" i="18"/>
  <c r="U149" i="18"/>
  <c r="V149" i="18"/>
  <c r="W149" i="18"/>
  <c r="X149" i="18"/>
  <c r="Y149" i="18"/>
  <c r="Z149" i="18"/>
  <c r="AA149" i="18"/>
  <c r="AB149" i="18"/>
  <c r="AC149" i="18"/>
  <c r="AD149" i="18"/>
  <c r="AE149" i="18"/>
  <c r="H149" i="18"/>
  <c r="B152" i="18"/>
  <c r="C152" i="18"/>
  <c r="D152" i="18"/>
  <c r="E152" i="18"/>
  <c r="F152" i="18" s="1"/>
  <c r="B153" i="18"/>
  <c r="C153" i="18"/>
  <c r="D153" i="18"/>
  <c r="E153" i="18"/>
  <c r="G153" i="18" s="1"/>
  <c r="B154" i="18"/>
  <c r="C154" i="18"/>
  <c r="D154" i="18"/>
  <c r="E154" i="18"/>
  <c r="C149" i="18"/>
  <c r="D149" i="18"/>
  <c r="E149" i="18"/>
  <c r="G149" i="18" s="1"/>
  <c r="B149" i="18"/>
  <c r="AE214" i="18"/>
  <c r="AD214" i="18"/>
  <c r="AC214" i="18"/>
  <c r="AB214" i="18"/>
  <c r="AA214" i="18"/>
  <c r="Z214" i="18"/>
  <c r="Y214" i="18"/>
  <c r="X214" i="18"/>
  <c r="W214" i="18"/>
  <c r="V214" i="18"/>
  <c r="U214" i="18"/>
  <c r="T214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E214" i="18"/>
  <c r="G214" i="18" s="1"/>
  <c r="D214" i="18"/>
  <c r="C214" i="18"/>
  <c r="B214" i="18"/>
  <c r="G216" i="18"/>
  <c r="F216" i="18"/>
  <c r="G215" i="18"/>
  <c r="F215" i="18"/>
  <c r="G212" i="18"/>
  <c r="F212" i="18"/>
  <c r="F230" i="18"/>
  <c r="G229" i="18"/>
  <c r="F229" i="18"/>
  <c r="F226" i="18"/>
  <c r="F223" i="18"/>
  <c r="G222" i="18"/>
  <c r="F222" i="18"/>
  <c r="AE218" i="18"/>
  <c r="AD218" i="18"/>
  <c r="AD217" i="18" s="1"/>
  <c r="AA218" i="18"/>
  <c r="AA217" i="18" s="1"/>
  <c r="W218" i="18"/>
  <c r="W217" i="18" s="1"/>
  <c r="V218" i="18"/>
  <c r="V217" i="18" s="1"/>
  <c r="S218" i="18"/>
  <c r="S217" i="18" s="1"/>
  <c r="O218" i="18"/>
  <c r="O217" i="18" s="1"/>
  <c r="N218" i="18"/>
  <c r="N217" i="18" s="1"/>
  <c r="K218" i="18"/>
  <c r="K217" i="18" s="1"/>
  <c r="F221" i="18"/>
  <c r="F219" i="18"/>
  <c r="AC218" i="18"/>
  <c r="AC217" i="18" s="1"/>
  <c r="AB218" i="18"/>
  <c r="AB217" i="18" s="1"/>
  <c r="X218" i="18"/>
  <c r="X217" i="18" s="1"/>
  <c r="U218" i="18"/>
  <c r="U217" i="18" s="1"/>
  <c r="T218" i="18"/>
  <c r="T217" i="18" s="1"/>
  <c r="P218" i="18"/>
  <c r="P217" i="18" s="1"/>
  <c r="M218" i="18"/>
  <c r="L218" i="18"/>
  <c r="L217" i="18" s="1"/>
  <c r="H218" i="18"/>
  <c r="H217" i="18" s="1"/>
  <c r="M217" i="18"/>
  <c r="F208" i="18"/>
  <c r="G207" i="18"/>
  <c r="F207" i="18"/>
  <c r="H203" i="18"/>
  <c r="H202" i="18" s="1"/>
  <c r="T203" i="18"/>
  <c r="T202" i="18" s="1"/>
  <c r="F201" i="18"/>
  <c r="G200" i="18"/>
  <c r="Q196" i="18"/>
  <c r="Q195" i="18" s="1"/>
  <c r="M196" i="18"/>
  <c r="M195" i="18" s="1"/>
  <c r="G197" i="18"/>
  <c r="G146" i="18"/>
  <c r="F146" i="18"/>
  <c r="G152" i="18"/>
  <c r="T148" i="18"/>
  <c r="T147" i="18" s="1"/>
  <c r="Y227" i="18" l="1"/>
  <c r="Y225" i="18" s="1"/>
  <c r="Y224" i="18" s="1"/>
  <c r="D220" i="18"/>
  <c r="D218" i="18" s="1"/>
  <c r="D217" i="18" s="1"/>
  <c r="Z227" i="18"/>
  <c r="Z225" i="18" s="1"/>
  <c r="Z224" i="18" s="1"/>
  <c r="C225" i="18"/>
  <c r="C224" i="18" s="1"/>
  <c r="C220" i="18"/>
  <c r="G157" i="18"/>
  <c r="G160" i="18"/>
  <c r="K148" i="18"/>
  <c r="K147" i="18" s="1"/>
  <c r="F204" i="18"/>
  <c r="F160" i="18"/>
  <c r="F161" i="18"/>
  <c r="F157" i="18"/>
  <c r="F153" i="18"/>
  <c r="F149" i="18"/>
  <c r="F214" i="18"/>
  <c r="G228" i="18"/>
  <c r="M156" i="18"/>
  <c r="M155" i="18" s="1"/>
  <c r="D196" i="18"/>
  <c r="D195" i="18" s="1"/>
  <c r="K196" i="18"/>
  <c r="K195" i="18" s="1"/>
  <c r="O196" i="18"/>
  <c r="O195" i="18" s="1"/>
  <c r="AE196" i="18"/>
  <c r="D203" i="18"/>
  <c r="D202" i="18" s="1"/>
  <c r="J203" i="18"/>
  <c r="J202" i="18" s="1"/>
  <c r="R203" i="18"/>
  <c r="R202" i="18" s="1"/>
  <c r="T156" i="18"/>
  <c r="T155" i="18" s="1"/>
  <c r="H196" i="18"/>
  <c r="H195" i="18" s="1"/>
  <c r="T196" i="18"/>
  <c r="T195" i="18" s="1"/>
  <c r="I203" i="18"/>
  <c r="I202" i="18" s="1"/>
  <c r="M203" i="18"/>
  <c r="M202" i="18" s="1"/>
  <c r="Q203" i="18"/>
  <c r="Q202" i="18" s="1"/>
  <c r="F206" i="18"/>
  <c r="I156" i="18"/>
  <c r="I155" i="18" s="1"/>
  <c r="Q156" i="18"/>
  <c r="Q155" i="18" s="1"/>
  <c r="G199" i="18"/>
  <c r="M148" i="18"/>
  <c r="M147" i="18" s="1"/>
  <c r="F199" i="18"/>
  <c r="K203" i="18"/>
  <c r="K202" i="18" s="1"/>
  <c r="O203" i="18"/>
  <c r="O202" i="18" s="1"/>
  <c r="AE203" i="18"/>
  <c r="I148" i="18"/>
  <c r="I147" i="18" s="1"/>
  <c r="Q148" i="18"/>
  <c r="Q147" i="18" s="1"/>
  <c r="H148" i="18"/>
  <c r="H147" i="18" s="1"/>
  <c r="K156" i="18"/>
  <c r="K155" i="18" s="1"/>
  <c r="J196" i="18"/>
  <c r="J195" i="18" s="1"/>
  <c r="R196" i="18"/>
  <c r="R195" i="18" s="1"/>
  <c r="G206" i="18"/>
  <c r="H156" i="18"/>
  <c r="H155" i="18" s="1"/>
  <c r="F11" i="18"/>
  <c r="G21" i="18"/>
  <c r="F21" i="18"/>
  <c r="I24" i="18"/>
  <c r="J24" i="18"/>
  <c r="K24" i="18"/>
  <c r="L24" i="18"/>
  <c r="M24" i="18"/>
  <c r="N24" i="18"/>
  <c r="O24" i="18"/>
  <c r="P24" i="18"/>
  <c r="Q24" i="18"/>
  <c r="S24" i="18"/>
  <c r="U24" i="18"/>
  <c r="W24" i="18"/>
  <c r="X24" i="18"/>
  <c r="Y24" i="18"/>
  <c r="Z24" i="18"/>
  <c r="AA24" i="18"/>
  <c r="AB24" i="18"/>
  <c r="AC24" i="18"/>
  <c r="AD24" i="18"/>
  <c r="AE24" i="18"/>
  <c r="R25" i="18"/>
  <c r="T25" i="18"/>
  <c r="R26" i="18"/>
  <c r="T26" i="18"/>
  <c r="M28" i="18"/>
  <c r="O28" i="18"/>
  <c r="K30" i="18"/>
  <c r="G236" i="18"/>
  <c r="F236" i="18"/>
  <c r="G235" i="18"/>
  <c r="F235" i="18"/>
  <c r="G232" i="18"/>
  <c r="F232" i="18"/>
  <c r="G194" i="18"/>
  <c r="F194" i="18"/>
  <c r="G193" i="18"/>
  <c r="F193" i="18"/>
  <c r="G190" i="18"/>
  <c r="F190" i="18"/>
  <c r="G188" i="18"/>
  <c r="F188" i="18"/>
  <c r="G187" i="18"/>
  <c r="F187" i="18"/>
  <c r="G184" i="18"/>
  <c r="F184" i="18"/>
  <c r="G182" i="18"/>
  <c r="F182" i="18"/>
  <c r="G181" i="18"/>
  <c r="F181" i="18"/>
  <c r="G178" i="18"/>
  <c r="F178" i="18"/>
  <c r="G175" i="18"/>
  <c r="F175" i="18"/>
  <c r="G174" i="18"/>
  <c r="F174" i="18"/>
  <c r="G171" i="18"/>
  <c r="F171" i="18"/>
  <c r="G169" i="18"/>
  <c r="F169" i="18"/>
  <c r="G168" i="18"/>
  <c r="F168" i="18"/>
  <c r="G165" i="18"/>
  <c r="F165" i="18"/>
  <c r="G154" i="18"/>
  <c r="F154" i="18"/>
  <c r="G145" i="18"/>
  <c r="F145" i="18"/>
  <c r="G142" i="18"/>
  <c r="F142" i="18"/>
  <c r="G139" i="18"/>
  <c r="F139" i="18"/>
  <c r="G138" i="18"/>
  <c r="F138" i="18"/>
  <c r="G135" i="18"/>
  <c r="F135" i="18"/>
  <c r="G132" i="18"/>
  <c r="F132" i="18"/>
  <c r="G131" i="18"/>
  <c r="F131" i="18"/>
  <c r="G125" i="18"/>
  <c r="F125" i="18"/>
  <c r="G56" i="18"/>
  <c r="F56" i="18"/>
  <c r="G55" i="18"/>
  <c r="F55" i="18"/>
  <c r="G52" i="18"/>
  <c r="F52" i="18"/>
  <c r="G45" i="18"/>
  <c r="F45" i="18"/>
  <c r="G44" i="18"/>
  <c r="F44" i="18"/>
  <c r="G41" i="18"/>
  <c r="F41" i="18"/>
  <c r="G38" i="18"/>
  <c r="F38" i="18"/>
  <c r="G37" i="18"/>
  <c r="F37" i="18"/>
  <c r="G34" i="18"/>
  <c r="F34" i="18"/>
  <c r="G22" i="18"/>
  <c r="F22" i="18"/>
  <c r="F18" i="18"/>
  <c r="G18" i="18"/>
  <c r="G15" i="18"/>
  <c r="F15" i="18"/>
  <c r="F14" i="18"/>
  <c r="G14" i="18"/>
  <c r="G11" i="18"/>
  <c r="E191" i="18"/>
  <c r="C191" i="18"/>
  <c r="B191" i="18"/>
  <c r="B185" i="18"/>
  <c r="E185" i="18"/>
  <c r="C185" i="18"/>
  <c r="AF173" i="18"/>
  <c r="AE173" i="18"/>
  <c r="AD173" i="18"/>
  <c r="AC173" i="18"/>
  <c r="AB173" i="18"/>
  <c r="AA173" i="18"/>
  <c r="Z173" i="18"/>
  <c r="Y173" i="18"/>
  <c r="X173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E173" i="18"/>
  <c r="D173" i="18"/>
  <c r="C173" i="18"/>
  <c r="B53" i="18"/>
  <c r="E42" i="18"/>
  <c r="C218" i="18" l="1"/>
  <c r="B179" i="18"/>
  <c r="B198" i="18" s="1"/>
  <c r="F173" i="18"/>
  <c r="V24" i="18"/>
  <c r="B173" i="18"/>
  <c r="R24" i="18"/>
  <c r="C179" i="18"/>
  <c r="E179" i="18"/>
  <c r="E198" i="18" s="1"/>
  <c r="T24" i="18"/>
  <c r="G191" i="18"/>
  <c r="F191" i="18"/>
  <c r="F185" i="18"/>
  <c r="G185" i="18"/>
  <c r="G173" i="18"/>
  <c r="C42" i="18"/>
  <c r="B42" i="18"/>
  <c r="F42" i="18" s="1"/>
  <c r="Z211" i="18"/>
  <c r="Z209" i="18" s="1"/>
  <c r="E213" i="18"/>
  <c r="E227" i="18" s="1"/>
  <c r="C211" i="18"/>
  <c r="AD211" i="18"/>
  <c r="AC211" i="18"/>
  <c r="AC209" i="18" s="1"/>
  <c r="AB211" i="18"/>
  <c r="AB209" i="18" s="1"/>
  <c r="AA211" i="18"/>
  <c r="AA209" i="18" s="1"/>
  <c r="Y211" i="18"/>
  <c r="Y209" i="18" s="1"/>
  <c r="X211" i="18"/>
  <c r="X209" i="18" s="1"/>
  <c r="W211" i="18"/>
  <c r="W209" i="18" s="1"/>
  <c r="V211" i="18"/>
  <c r="V209" i="18" s="1"/>
  <c r="U211" i="18"/>
  <c r="U209" i="18" s="1"/>
  <c r="T211" i="18"/>
  <c r="T209" i="18" s="1"/>
  <c r="S211" i="18"/>
  <c r="S209" i="18" s="1"/>
  <c r="R211" i="18"/>
  <c r="Q211" i="18"/>
  <c r="Q209" i="18" s="1"/>
  <c r="P211" i="18"/>
  <c r="P209" i="18" s="1"/>
  <c r="O211" i="18"/>
  <c r="O209" i="18" s="1"/>
  <c r="N211" i="18"/>
  <c r="N209" i="18" s="1"/>
  <c r="M211" i="18"/>
  <c r="M209" i="18" s="1"/>
  <c r="L211" i="18"/>
  <c r="L209" i="18" s="1"/>
  <c r="K211" i="18"/>
  <c r="K209" i="18" s="1"/>
  <c r="J211" i="18"/>
  <c r="J209" i="18" s="1"/>
  <c r="I211" i="18"/>
  <c r="I209" i="18" s="1"/>
  <c r="H211" i="18"/>
  <c r="H209" i="18" s="1"/>
  <c r="E211" i="18"/>
  <c r="D211" i="18"/>
  <c r="D209" i="18" s="1"/>
  <c r="AD209" i="18"/>
  <c r="R209" i="18"/>
  <c r="E192" i="18"/>
  <c r="D192" i="18"/>
  <c r="C192" i="18"/>
  <c r="B192" i="18"/>
  <c r="E186" i="18"/>
  <c r="D186" i="18"/>
  <c r="C186" i="18"/>
  <c r="B186" i="18"/>
  <c r="AD180" i="18"/>
  <c r="AD177" i="18" s="1"/>
  <c r="AC180" i="18"/>
  <c r="AC177" i="18" s="1"/>
  <c r="AB180" i="18"/>
  <c r="AB177" i="18" s="1"/>
  <c r="AA180" i="18"/>
  <c r="AA167" i="18" s="1"/>
  <c r="Z180" i="18"/>
  <c r="Z177" i="18" s="1"/>
  <c r="Y180" i="18"/>
  <c r="Y177" i="18" s="1"/>
  <c r="X180" i="18"/>
  <c r="X167" i="18" s="1"/>
  <c r="W180" i="18"/>
  <c r="W167" i="18" s="1"/>
  <c r="V180" i="18"/>
  <c r="V177" i="18" s="1"/>
  <c r="U180" i="18"/>
  <c r="U176" i="18" s="1"/>
  <c r="T180" i="18"/>
  <c r="T177" i="18" s="1"/>
  <c r="S180" i="18"/>
  <c r="S176" i="18" s="1"/>
  <c r="R180" i="18"/>
  <c r="R176" i="18" s="1"/>
  <c r="Q180" i="18"/>
  <c r="Q177" i="18" s="1"/>
  <c r="P180" i="18"/>
  <c r="P177" i="18" s="1"/>
  <c r="O180" i="18"/>
  <c r="O167" i="18" s="1"/>
  <c r="N180" i="18"/>
  <c r="N177" i="18" s="1"/>
  <c r="M180" i="18"/>
  <c r="M177" i="18" s="1"/>
  <c r="L180" i="18"/>
  <c r="L177" i="18" s="1"/>
  <c r="K180" i="18"/>
  <c r="K177" i="18" s="1"/>
  <c r="J180" i="18"/>
  <c r="J176" i="18" s="1"/>
  <c r="I180" i="18"/>
  <c r="I177" i="18" s="1"/>
  <c r="H180" i="18"/>
  <c r="H177" i="18" s="1"/>
  <c r="AE177" i="18"/>
  <c r="D177" i="18"/>
  <c r="AD170" i="18"/>
  <c r="AB166" i="18"/>
  <c r="AB198" i="18" s="1"/>
  <c r="Z166" i="18"/>
  <c r="Z198" i="18" s="1"/>
  <c r="V166" i="18"/>
  <c r="V198" i="18" s="1"/>
  <c r="T172" i="18"/>
  <c r="T166" i="18" s="1"/>
  <c r="R172" i="18"/>
  <c r="R170" i="18" s="1"/>
  <c r="Q172" i="18"/>
  <c r="Q166" i="18" s="1"/>
  <c r="N166" i="18"/>
  <c r="N198" i="18" s="1"/>
  <c r="L172" i="18"/>
  <c r="L166" i="18" s="1"/>
  <c r="K172" i="18"/>
  <c r="K166" i="18" s="1"/>
  <c r="J172" i="18"/>
  <c r="J166" i="18" s="1"/>
  <c r="I172" i="18"/>
  <c r="I170" i="18" s="1"/>
  <c r="H172" i="18"/>
  <c r="AC170" i="18"/>
  <c r="AB170" i="18"/>
  <c r="AA170" i="18"/>
  <c r="Y170" i="18"/>
  <c r="W170" i="18"/>
  <c r="U170" i="18"/>
  <c r="S170" i="18"/>
  <c r="Q170" i="18"/>
  <c r="O170" i="18"/>
  <c r="M170" i="18"/>
  <c r="AF167" i="18"/>
  <c r="AE167" i="18"/>
  <c r="V167" i="18"/>
  <c r="I167" i="18"/>
  <c r="D167" i="18"/>
  <c r="AC166" i="18"/>
  <c r="AC198" i="18" s="1"/>
  <c r="AA166" i="18"/>
  <c r="AA198" i="18" s="1"/>
  <c r="Y166" i="18"/>
  <c r="Y198" i="18" s="1"/>
  <c r="W166" i="18"/>
  <c r="W198" i="18" s="1"/>
  <c r="U166" i="18"/>
  <c r="U198" i="18" s="1"/>
  <c r="S166" i="18"/>
  <c r="S198" i="18" s="1"/>
  <c r="O166" i="18"/>
  <c r="M166" i="18"/>
  <c r="AE164" i="18"/>
  <c r="AE144" i="18"/>
  <c r="AE137" i="18" s="1"/>
  <c r="AD144" i="18"/>
  <c r="AD141" i="18" s="1"/>
  <c r="AC144" i="18"/>
  <c r="AB144" i="18"/>
  <c r="AB137" i="18" s="1"/>
  <c r="AA144" i="18"/>
  <c r="Z144" i="18"/>
  <c r="Z141" i="18" s="1"/>
  <c r="Y144" i="18"/>
  <c r="Y137" i="18" s="1"/>
  <c r="X144" i="18"/>
  <c r="X141" i="18" s="1"/>
  <c r="W144" i="18"/>
  <c r="W137" i="18" s="1"/>
  <c r="V144" i="18"/>
  <c r="V141" i="18" s="1"/>
  <c r="U144" i="18"/>
  <c r="U141" i="18" s="1"/>
  <c r="T144" i="18"/>
  <c r="T141" i="18" s="1"/>
  <c r="S144" i="18"/>
  <c r="S137" i="18" s="1"/>
  <c r="R144" i="18"/>
  <c r="R141" i="18" s="1"/>
  <c r="Q144" i="18"/>
  <c r="Q141" i="18" s="1"/>
  <c r="P144" i="18"/>
  <c r="P141" i="18" s="1"/>
  <c r="O144" i="18"/>
  <c r="O137" i="18" s="1"/>
  <c r="N144" i="18"/>
  <c r="N141" i="18" s="1"/>
  <c r="M144" i="18"/>
  <c r="M141" i="18" s="1"/>
  <c r="L144" i="18"/>
  <c r="L141" i="18" s="1"/>
  <c r="K144" i="18"/>
  <c r="J144" i="18"/>
  <c r="I144" i="18"/>
  <c r="I141" i="18" s="1"/>
  <c r="H144" i="18"/>
  <c r="H141" i="18" s="1"/>
  <c r="E143" i="18"/>
  <c r="C143" i="18"/>
  <c r="C141" i="18" s="1"/>
  <c r="B143" i="18"/>
  <c r="B141" i="18" s="1"/>
  <c r="AC141" i="18"/>
  <c r="O141" i="18"/>
  <c r="D141" i="18"/>
  <c r="AC137" i="18"/>
  <c r="Z137" i="18"/>
  <c r="J137" i="18"/>
  <c r="D137" i="18"/>
  <c r="AE136" i="18"/>
  <c r="AD136" i="18"/>
  <c r="AC136" i="18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D136" i="18"/>
  <c r="C136" i="18"/>
  <c r="E130" i="18"/>
  <c r="C130" i="18"/>
  <c r="B130" i="18"/>
  <c r="B129" i="18" s="1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D129" i="18"/>
  <c r="AE120" i="18"/>
  <c r="AC120" i="18"/>
  <c r="AB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M120" i="18"/>
  <c r="L120" i="18"/>
  <c r="K120" i="18"/>
  <c r="J120" i="18"/>
  <c r="I120" i="18"/>
  <c r="H120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M118" i="18" s="1"/>
  <c r="L119" i="18"/>
  <c r="L118" i="18" s="1"/>
  <c r="K119" i="18"/>
  <c r="K118" i="18" s="1"/>
  <c r="J119" i="18"/>
  <c r="I119" i="18"/>
  <c r="I118" i="18" s="1"/>
  <c r="H119" i="18"/>
  <c r="H118" i="18" s="1"/>
  <c r="N117" i="18"/>
  <c r="E117" i="18"/>
  <c r="D117" i="18" s="1"/>
  <c r="AD113" i="18"/>
  <c r="E115" i="18"/>
  <c r="D115" i="18" s="1"/>
  <c r="E114" i="18"/>
  <c r="B114" i="18"/>
  <c r="AE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AE109" i="18"/>
  <c r="AE108" i="18" s="1"/>
  <c r="AD109" i="18"/>
  <c r="AC109" i="18"/>
  <c r="AB109" i="18"/>
  <c r="AB108" i="18" s="1"/>
  <c r="AA109" i="18"/>
  <c r="AA108" i="18" s="1"/>
  <c r="Z109" i="18"/>
  <c r="Z108" i="18" s="1"/>
  <c r="Y109" i="18"/>
  <c r="X109" i="18"/>
  <c r="X108" i="18" s="1"/>
  <c r="W109" i="18"/>
  <c r="W108" i="18" s="1"/>
  <c r="V109" i="18"/>
  <c r="V108" i="18" s="1"/>
  <c r="U109" i="18"/>
  <c r="T109" i="18"/>
  <c r="T108" i="18" s="1"/>
  <c r="S109" i="18"/>
  <c r="S108" i="18" s="1"/>
  <c r="R109" i="18"/>
  <c r="R108" i="18" s="1"/>
  <c r="Q109" i="18"/>
  <c r="P109" i="18"/>
  <c r="P108" i="18" s="1"/>
  <c r="O109" i="18"/>
  <c r="O108" i="18" s="1"/>
  <c r="N109" i="18"/>
  <c r="N108" i="18" s="1"/>
  <c r="M109" i="18"/>
  <c r="L109" i="18"/>
  <c r="L108" i="18" s="1"/>
  <c r="K109" i="18"/>
  <c r="K108" i="18" s="1"/>
  <c r="J109" i="18"/>
  <c r="I109" i="18"/>
  <c r="H109" i="18"/>
  <c r="H108" i="18" s="1"/>
  <c r="C109" i="18"/>
  <c r="J108" i="18"/>
  <c r="E107" i="18"/>
  <c r="B107" i="18"/>
  <c r="E105" i="18"/>
  <c r="D105" i="18" s="1"/>
  <c r="B105" i="18"/>
  <c r="E104" i="18"/>
  <c r="D104" i="18" s="1"/>
  <c r="D109" i="18" s="1"/>
  <c r="B104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AE100" i="18"/>
  <c r="AC100" i="18"/>
  <c r="AB100" i="18"/>
  <c r="AA100" i="18"/>
  <c r="Z100" i="18"/>
  <c r="Y100" i="18"/>
  <c r="W100" i="18"/>
  <c r="V100" i="18"/>
  <c r="U100" i="18"/>
  <c r="T100" i="18"/>
  <c r="S100" i="18"/>
  <c r="R100" i="18"/>
  <c r="Q100" i="18"/>
  <c r="O100" i="18"/>
  <c r="N100" i="18"/>
  <c r="M100" i="18"/>
  <c r="L100" i="18"/>
  <c r="K100" i="18"/>
  <c r="J100" i="18"/>
  <c r="I100" i="18"/>
  <c r="H100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S99" i="18"/>
  <c r="R99" i="18"/>
  <c r="Q99" i="18"/>
  <c r="P99" i="18"/>
  <c r="O99" i="18"/>
  <c r="N99" i="18"/>
  <c r="N98" i="18" s="1"/>
  <c r="M99" i="18"/>
  <c r="M98" i="18" s="1"/>
  <c r="L99" i="18"/>
  <c r="K99" i="18"/>
  <c r="K98" i="18" s="1"/>
  <c r="J99" i="18"/>
  <c r="J98" i="18" s="1"/>
  <c r="I99" i="18"/>
  <c r="I98" i="18" s="1"/>
  <c r="H99" i="18"/>
  <c r="H98" i="18" s="1"/>
  <c r="O98" i="18"/>
  <c r="C100" i="18"/>
  <c r="E97" i="18"/>
  <c r="D97" i="18" s="1"/>
  <c r="AD100" i="18"/>
  <c r="E95" i="18"/>
  <c r="E94" i="18"/>
  <c r="C93" i="18"/>
  <c r="B94" i="18"/>
  <c r="B99" i="18" s="1"/>
  <c r="AE93" i="18"/>
  <c r="AC93" i="18"/>
  <c r="AB93" i="18"/>
  <c r="AA93" i="18"/>
  <c r="Z93" i="18"/>
  <c r="Y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AE90" i="18"/>
  <c r="AD90" i="18"/>
  <c r="AC90" i="18"/>
  <c r="AB90" i="18"/>
  <c r="AA90" i="18"/>
  <c r="Z90" i="18"/>
  <c r="Y90" i="18"/>
  <c r="X90" i="18"/>
  <c r="W90" i="18"/>
  <c r="V90" i="18"/>
  <c r="U90" i="18"/>
  <c r="T90" i="18"/>
  <c r="S90" i="18"/>
  <c r="R90" i="18"/>
  <c r="Q90" i="18"/>
  <c r="O90" i="18"/>
  <c r="N90" i="18"/>
  <c r="M90" i="18"/>
  <c r="L90" i="18"/>
  <c r="K90" i="18"/>
  <c r="J90" i="18"/>
  <c r="I90" i="18"/>
  <c r="H90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C89" i="18"/>
  <c r="AA88" i="18"/>
  <c r="B87" i="18"/>
  <c r="E85" i="18"/>
  <c r="D85" i="18" s="1"/>
  <c r="B85" i="18"/>
  <c r="D89" i="18"/>
  <c r="B84" i="18"/>
  <c r="B89" i="18" s="1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L80" i="18"/>
  <c r="K80" i="18"/>
  <c r="J80" i="18"/>
  <c r="I80" i="18"/>
  <c r="H80" i="18"/>
  <c r="AE79" i="18"/>
  <c r="AC79" i="18"/>
  <c r="AA79" i="18"/>
  <c r="Y79" i="18"/>
  <c r="W79" i="18"/>
  <c r="V79" i="18"/>
  <c r="U79" i="18"/>
  <c r="T79" i="18"/>
  <c r="S79" i="18"/>
  <c r="Q79" i="18"/>
  <c r="O79" i="18"/>
  <c r="M79" i="18"/>
  <c r="K79" i="18"/>
  <c r="I79" i="18"/>
  <c r="H79" i="18"/>
  <c r="M77" i="18"/>
  <c r="B77" i="18"/>
  <c r="M75" i="18"/>
  <c r="E75" i="18" s="1"/>
  <c r="D75" i="18" s="1"/>
  <c r="B75" i="18"/>
  <c r="AB79" i="18"/>
  <c r="Z79" i="18"/>
  <c r="X73" i="18"/>
  <c r="P79" i="18"/>
  <c r="N79" i="18"/>
  <c r="L79" i="18"/>
  <c r="E74" i="18"/>
  <c r="D79" i="18"/>
  <c r="AE73" i="18"/>
  <c r="AC73" i="18"/>
  <c r="AB73" i="18"/>
  <c r="AA73" i="18"/>
  <c r="Y73" i="18"/>
  <c r="W73" i="18"/>
  <c r="V73" i="18"/>
  <c r="U73" i="18"/>
  <c r="T73" i="18"/>
  <c r="S73" i="18"/>
  <c r="Q73" i="18"/>
  <c r="O73" i="18"/>
  <c r="K73" i="18"/>
  <c r="I73" i="18"/>
  <c r="H73" i="18"/>
  <c r="AE70" i="18"/>
  <c r="AD70" i="18"/>
  <c r="AC70" i="18"/>
  <c r="AA70" i="18"/>
  <c r="Y70" i="18"/>
  <c r="W70" i="18"/>
  <c r="U70" i="18"/>
  <c r="S70" i="18"/>
  <c r="M70" i="18"/>
  <c r="K70" i="18"/>
  <c r="J70" i="18"/>
  <c r="I70" i="18"/>
  <c r="H70" i="18"/>
  <c r="AE69" i="18"/>
  <c r="AD69" i="18"/>
  <c r="AC69" i="18"/>
  <c r="AA69" i="18"/>
  <c r="Y69" i="18"/>
  <c r="W69" i="18"/>
  <c r="U69" i="18"/>
  <c r="S69" i="18"/>
  <c r="O69" i="18"/>
  <c r="N69" i="18"/>
  <c r="M69" i="18"/>
  <c r="L69" i="18"/>
  <c r="K69" i="18"/>
  <c r="J69" i="18"/>
  <c r="I69" i="18"/>
  <c r="H69" i="18"/>
  <c r="K68" i="18"/>
  <c r="Z67" i="18"/>
  <c r="X67" i="18"/>
  <c r="V67" i="18"/>
  <c r="T67" i="18"/>
  <c r="R67" i="18"/>
  <c r="P67" i="18"/>
  <c r="O67" i="18"/>
  <c r="E67" i="18" s="1"/>
  <c r="N67" i="18"/>
  <c r="L67" i="18"/>
  <c r="AB65" i="18"/>
  <c r="AB70" i="18" s="1"/>
  <c r="Z65" i="18"/>
  <c r="X65" i="18"/>
  <c r="V65" i="18"/>
  <c r="T65" i="18"/>
  <c r="R65" i="18"/>
  <c r="Q65" i="18"/>
  <c r="Q70" i="18" s="1"/>
  <c r="P65" i="18"/>
  <c r="O65" i="18"/>
  <c r="N65" i="18"/>
  <c r="N63" i="18" s="1"/>
  <c r="AB69" i="18"/>
  <c r="Z69" i="18"/>
  <c r="X69" i="18"/>
  <c r="V69" i="18"/>
  <c r="T64" i="18"/>
  <c r="T69" i="18" s="1"/>
  <c r="R69" i="18"/>
  <c r="Q64" i="18"/>
  <c r="Q69" i="18" s="1"/>
  <c r="P64" i="18"/>
  <c r="AE63" i="18"/>
  <c r="AD63" i="18"/>
  <c r="AC63" i="18"/>
  <c r="AA63" i="18"/>
  <c r="Y63" i="18"/>
  <c r="W63" i="18"/>
  <c r="U63" i="18"/>
  <c r="S63" i="18"/>
  <c r="M63" i="18"/>
  <c r="L63" i="18"/>
  <c r="K63" i="18"/>
  <c r="J63" i="18"/>
  <c r="I63" i="18"/>
  <c r="H63" i="18"/>
  <c r="E54" i="18"/>
  <c r="E51" i="18" s="1"/>
  <c r="D54" i="18"/>
  <c r="D51" i="18" s="1"/>
  <c r="C54" i="18"/>
  <c r="C51" i="18" s="1"/>
  <c r="B54" i="18"/>
  <c r="B51" i="18" s="1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T49" i="18"/>
  <c r="R49" i="18"/>
  <c r="O49" i="18"/>
  <c r="T47" i="18"/>
  <c r="E47" i="18"/>
  <c r="AE43" i="18"/>
  <c r="AE40" i="18" s="1"/>
  <c r="AD43" i="18"/>
  <c r="AD40" i="18" s="1"/>
  <c r="AC43" i="18"/>
  <c r="AC40" i="18" s="1"/>
  <c r="AB43" i="18"/>
  <c r="AB40" i="18" s="1"/>
  <c r="AA43" i="18"/>
  <c r="AA40" i="18" s="1"/>
  <c r="Z43" i="18"/>
  <c r="Z40" i="18" s="1"/>
  <c r="Y43" i="18"/>
  <c r="X43" i="18"/>
  <c r="X40" i="18" s="1"/>
  <c r="W43" i="18"/>
  <c r="W40" i="18" s="1"/>
  <c r="U43" i="18"/>
  <c r="U40" i="18" s="1"/>
  <c r="S43" i="18"/>
  <c r="S40" i="18" s="1"/>
  <c r="Q43" i="18"/>
  <c r="Q40" i="18" s="1"/>
  <c r="P43" i="18"/>
  <c r="P40" i="18" s="1"/>
  <c r="N43" i="18"/>
  <c r="N40" i="18" s="1"/>
  <c r="M43" i="18"/>
  <c r="M40" i="18" s="1"/>
  <c r="K43" i="18"/>
  <c r="K40" i="18" s="1"/>
  <c r="J43" i="18"/>
  <c r="J40" i="18" s="1"/>
  <c r="I43" i="18"/>
  <c r="H43" i="18"/>
  <c r="H40" i="18" s="1"/>
  <c r="Y40" i="18"/>
  <c r="I40" i="18"/>
  <c r="AB33" i="18"/>
  <c r="Z36" i="18"/>
  <c r="X36" i="18"/>
  <c r="Q36" i="18"/>
  <c r="P36" i="18"/>
  <c r="O36" i="18"/>
  <c r="N36" i="18"/>
  <c r="M36" i="18"/>
  <c r="L36" i="18"/>
  <c r="K36" i="18"/>
  <c r="K33" i="18" s="1"/>
  <c r="J36" i="18"/>
  <c r="Z35" i="18"/>
  <c r="X35" i="18"/>
  <c r="Q35" i="18"/>
  <c r="P35" i="18"/>
  <c r="O35" i="18"/>
  <c r="N35" i="18"/>
  <c r="L35" i="18"/>
  <c r="AE33" i="18"/>
  <c r="AD33" i="18"/>
  <c r="AC33" i="18"/>
  <c r="AA33" i="18"/>
  <c r="Y33" i="18"/>
  <c r="W33" i="18"/>
  <c r="V33" i="18"/>
  <c r="U33" i="18"/>
  <c r="T33" i="18"/>
  <c r="S33" i="18"/>
  <c r="R33" i="18"/>
  <c r="I33" i="18"/>
  <c r="H33" i="18"/>
  <c r="K20" i="18"/>
  <c r="O20" i="18"/>
  <c r="V20" i="18"/>
  <c r="R20" i="18"/>
  <c r="E26" i="18"/>
  <c r="T19" i="18"/>
  <c r="T58" i="18" s="1"/>
  <c r="C58" i="18"/>
  <c r="H24" i="18"/>
  <c r="AE20" i="18"/>
  <c r="AD20" i="18"/>
  <c r="AD59" i="18" s="1"/>
  <c r="AC20" i="18"/>
  <c r="AB20" i="18"/>
  <c r="AA20" i="18"/>
  <c r="Z20" i="18"/>
  <c r="Y20" i="18"/>
  <c r="X20" i="18"/>
  <c r="W20" i="18"/>
  <c r="U20" i="18"/>
  <c r="U59" i="18" s="1"/>
  <c r="S20" i="18"/>
  <c r="Q20" i="18"/>
  <c r="Q17" i="18" s="1"/>
  <c r="P20" i="18"/>
  <c r="N20" i="18"/>
  <c r="M20" i="18"/>
  <c r="I20" i="18"/>
  <c r="H20" i="18"/>
  <c r="AE19" i="18"/>
  <c r="AD19" i="18"/>
  <c r="AD58" i="18" s="1"/>
  <c r="AC19" i="18"/>
  <c r="AC58" i="18" s="1"/>
  <c r="AB19" i="18"/>
  <c r="AA19" i="18"/>
  <c r="Z19" i="18"/>
  <c r="Y19" i="18"/>
  <c r="Y58" i="18" s="1"/>
  <c r="X19" i="18"/>
  <c r="W19" i="18"/>
  <c r="W58" i="18" s="1"/>
  <c r="V19" i="18"/>
  <c r="V58" i="18" s="1"/>
  <c r="U19" i="18"/>
  <c r="U58" i="18" s="1"/>
  <c r="S19" i="18"/>
  <c r="R19" i="18"/>
  <c r="R58" i="18" s="1"/>
  <c r="Q19" i="18"/>
  <c r="P19" i="18"/>
  <c r="O19" i="18"/>
  <c r="N19" i="18"/>
  <c r="M19" i="18"/>
  <c r="M58" i="18" s="1"/>
  <c r="L19" i="18"/>
  <c r="K19" i="18"/>
  <c r="J19" i="18"/>
  <c r="J58" i="18" s="1"/>
  <c r="I19" i="18"/>
  <c r="I58" i="18" s="1"/>
  <c r="H19" i="18"/>
  <c r="E119" i="18" l="1"/>
  <c r="D114" i="18"/>
  <c r="G107" i="18"/>
  <c r="D107" i="18"/>
  <c r="G95" i="18"/>
  <c r="D95" i="18"/>
  <c r="AE98" i="18"/>
  <c r="E99" i="18"/>
  <c r="G53" i="18" s="1"/>
  <c r="D94" i="18"/>
  <c r="N205" i="18"/>
  <c r="N203" i="18" s="1"/>
  <c r="N202" i="18" s="1"/>
  <c r="N196" i="18"/>
  <c r="N195" i="18" s="1"/>
  <c r="AC196" i="18"/>
  <c r="AC195" i="18" s="1"/>
  <c r="AC205" i="18"/>
  <c r="AC203" i="18" s="1"/>
  <c r="AC202" i="18" s="1"/>
  <c r="V205" i="18"/>
  <c r="V203" i="18" s="1"/>
  <c r="V202" i="18" s="1"/>
  <c r="V196" i="18"/>
  <c r="V195" i="18" s="1"/>
  <c r="AA205" i="18"/>
  <c r="AA203" i="18" s="1"/>
  <c r="AA202" i="18" s="1"/>
  <c r="AA196" i="18"/>
  <c r="AA195" i="18" s="1"/>
  <c r="AB205" i="18"/>
  <c r="AB203" i="18" s="1"/>
  <c r="AB202" i="18" s="1"/>
  <c r="AB196" i="18"/>
  <c r="AB195" i="18" s="1"/>
  <c r="Z205" i="18"/>
  <c r="Z203" i="18" s="1"/>
  <c r="Z202" i="18" s="1"/>
  <c r="Z196" i="18"/>
  <c r="Z195" i="18" s="1"/>
  <c r="E220" i="18"/>
  <c r="G227" i="18"/>
  <c r="E225" i="18"/>
  <c r="Y196" i="18"/>
  <c r="Y195" i="18" s="1"/>
  <c r="Y205" i="18"/>
  <c r="Y203" i="18" s="1"/>
  <c r="Y202" i="18" s="1"/>
  <c r="W205" i="18"/>
  <c r="W203" i="18" s="1"/>
  <c r="W202" i="18" s="1"/>
  <c r="W196" i="18"/>
  <c r="W195" i="18" s="1"/>
  <c r="C217" i="18"/>
  <c r="U196" i="18"/>
  <c r="U195" i="18" s="1"/>
  <c r="U205" i="18"/>
  <c r="U203" i="18" s="1"/>
  <c r="U202" i="18" s="1"/>
  <c r="AD108" i="18"/>
  <c r="G179" i="18"/>
  <c r="C198" i="18"/>
  <c r="B205" i="18"/>
  <c r="B203" i="18" s="1"/>
  <c r="B202" i="18" s="1"/>
  <c r="B196" i="18"/>
  <c r="B195" i="18" s="1"/>
  <c r="E205" i="18"/>
  <c r="E196" i="18"/>
  <c r="F198" i="18"/>
  <c r="S205" i="18"/>
  <c r="S203" i="18" s="1"/>
  <c r="S202" i="18" s="1"/>
  <c r="S196" i="18"/>
  <c r="S195" i="18" s="1"/>
  <c r="S98" i="18"/>
  <c r="F179" i="18"/>
  <c r="X33" i="18"/>
  <c r="V162" i="18"/>
  <c r="P118" i="18"/>
  <c r="T118" i="18"/>
  <c r="AB17" i="18"/>
  <c r="S59" i="18"/>
  <c r="Y59" i="18"/>
  <c r="AC59" i="18"/>
  <c r="AE118" i="18"/>
  <c r="D164" i="18"/>
  <c r="V43" i="18"/>
  <c r="V40" i="18" s="1"/>
  <c r="W162" i="18"/>
  <c r="W176" i="18"/>
  <c r="H137" i="18"/>
  <c r="AA176" i="18"/>
  <c r="F53" i="18"/>
  <c r="Z33" i="18"/>
  <c r="Y88" i="18"/>
  <c r="N58" i="18"/>
  <c r="O43" i="18"/>
  <c r="O40" i="18" s="1"/>
  <c r="S88" i="18"/>
  <c r="O118" i="18"/>
  <c r="S118" i="18"/>
  <c r="W118" i="18"/>
  <c r="AA118" i="18"/>
  <c r="U167" i="18"/>
  <c r="D134" i="18"/>
  <c r="Q98" i="18"/>
  <c r="AB58" i="18"/>
  <c r="Q63" i="18"/>
  <c r="P70" i="18"/>
  <c r="U68" i="18"/>
  <c r="Q123" i="18"/>
  <c r="Q127" i="18" s="1"/>
  <c r="U127" i="18"/>
  <c r="U13" i="18" s="1"/>
  <c r="U151" i="18" s="1"/>
  <c r="U159" i="18" s="1"/>
  <c r="Y123" i="18"/>
  <c r="Y127" i="18" s="1"/>
  <c r="AC123" i="18"/>
  <c r="AC127" i="18" s="1"/>
  <c r="B113" i="18"/>
  <c r="P137" i="18"/>
  <c r="P134" i="18" s="1"/>
  <c r="O176" i="18"/>
  <c r="G42" i="18"/>
  <c r="U98" i="18"/>
  <c r="I122" i="18"/>
  <c r="I126" i="18" s="1"/>
  <c r="I12" i="18" s="1"/>
  <c r="M122" i="18"/>
  <c r="M126" i="18" s="1"/>
  <c r="M12" i="18" s="1"/>
  <c r="Q122" i="18"/>
  <c r="U122" i="18"/>
  <c r="U126" i="18" s="1"/>
  <c r="U12" i="18" s="1"/>
  <c r="U150" i="18" s="1"/>
  <c r="I123" i="18"/>
  <c r="I127" i="18" s="1"/>
  <c r="M123" i="18"/>
  <c r="V123" i="18"/>
  <c r="B97" i="18"/>
  <c r="F97" i="18" s="1"/>
  <c r="T137" i="18"/>
  <c r="T134" i="18" s="1"/>
  <c r="P167" i="18"/>
  <c r="U177" i="18"/>
  <c r="G211" i="18"/>
  <c r="E113" i="18"/>
  <c r="F186" i="18"/>
  <c r="E36" i="18"/>
  <c r="N73" i="18"/>
  <c r="I78" i="18"/>
  <c r="AC78" i="18"/>
  <c r="AA98" i="18"/>
  <c r="Q58" i="18"/>
  <c r="Z58" i="18"/>
  <c r="J20" i="18"/>
  <c r="Q59" i="18"/>
  <c r="X59" i="18"/>
  <c r="AB59" i="18"/>
  <c r="AA68" i="18"/>
  <c r="Z73" i="18"/>
  <c r="L78" i="18"/>
  <c r="W78" i="18"/>
  <c r="I88" i="18"/>
  <c r="K122" i="18"/>
  <c r="K126" i="18" s="1"/>
  <c r="O122" i="18"/>
  <c r="S122" i="18"/>
  <c r="S126" i="18" s="1"/>
  <c r="W122" i="18"/>
  <c r="W126" i="18" s="1"/>
  <c r="W12" i="18" s="1"/>
  <c r="W150" i="18" s="1"/>
  <c r="AA122" i="18"/>
  <c r="AA126" i="18" s="1"/>
  <c r="AE122" i="18"/>
  <c r="AE126" i="18" s="1"/>
  <c r="K123" i="18"/>
  <c r="K127" i="18" s="1"/>
  <c r="O123" i="18"/>
  <c r="G97" i="18"/>
  <c r="X98" i="18"/>
  <c r="M137" i="18"/>
  <c r="M134" i="18" s="1"/>
  <c r="X137" i="18"/>
  <c r="Y141" i="18"/>
  <c r="I166" i="18"/>
  <c r="I164" i="18" s="1"/>
  <c r="O162" i="18"/>
  <c r="M167" i="18"/>
  <c r="M164" i="18" s="1"/>
  <c r="Y167" i="18"/>
  <c r="Y164" i="18" s="1"/>
  <c r="K176" i="18"/>
  <c r="Y176" i="18"/>
  <c r="N78" i="18"/>
  <c r="Z78" i="18"/>
  <c r="Q88" i="18"/>
  <c r="V98" i="18"/>
  <c r="X134" i="18"/>
  <c r="N170" i="18"/>
  <c r="T170" i="18"/>
  <c r="P33" i="18"/>
  <c r="L33" i="18"/>
  <c r="Q78" i="18"/>
  <c r="W98" i="18"/>
  <c r="U137" i="18"/>
  <c r="U134" i="18" s="1"/>
  <c r="G186" i="18"/>
  <c r="K59" i="18"/>
  <c r="P58" i="18"/>
  <c r="P59" i="18"/>
  <c r="R70" i="18"/>
  <c r="Z70" i="18"/>
  <c r="Z68" i="18" s="1"/>
  <c r="Y68" i="18"/>
  <c r="AE68" i="18"/>
  <c r="K88" i="18"/>
  <c r="AE88" i="18"/>
  <c r="J122" i="18"/>
  <c r="N122" i="18"/>
  <c r="N126" i="18" s="1"/>
  <c r="N12" i="18" s="1"/>
  <c r="N150" i="18" s="1"/>
  <c r="R122" i="18"/>
  <c r="V122" i="18"/>
  <c r="Z122" i="18"/>
  <c r="Z126" i="18" s="1"/>
  <c r="AD122" i="18"/>
  <c r="S123" i="18"/>
  <c r="S127" i="18" s="1"/>
  <c r="W123" i="18"/>
  <c r="W127" i="18" s="1"/>
  <c r="AA123" i="18"/>
  <c r="Z98" i="18"/>
  <c r="B103" i="18"/>
  <c r="E110" i="18"/>
  <c r="I137" i="18"/>
  <c r="I134" i="18" s="1"/>
  <c r="Q137" i="18"/>
  <c r="Q134" i="18" s="1"/>
  <c r="C144" i="18"/>
  <c r="C137" i="18" s="1"/>
  <c r="C134" i="18" s="1"/>
  <c r="W164" i="18"/>
  <c r="Q167" i="18"/>
  <c r="Q162" i="18" s="1"/>
  <c r="I176" i="18"/>
  <c r="B80" i="18"/>
  <c r="AA78" i="18"/>
  <c r="M33" i="18"/>
  <c r="L170" i="18"/>
  <c r="Q176" i="18"/>
  <c r="F75" i="18"/>
  <c r="G75" i="18"/>
  <c r="AA17" i="18"/>
  <c r="O17" i="18"/>
  <c r="X58" i="18"/>
  <c r="B30" i="18"/>
  <c r="R63" i="18"/>
  <c r="D100" i="18"/>
  <c r="H17" i="18"/>
  <c r="I59" i="18"/>
  <c r="Z59" i="18"/>
  <c r="M73" i="18"/>
  <c r="P78" i="18"/>
  <c r="AB78" i="18"/>
  <c r="O88" i="18"/>
  <c r="H123" i="18"/>
  <c r="H127" i="18" s="1"/>
  <c r="L123" i="18"/>
  <c r="P90" i="18"/>
  <c r="T123" i="18"/>
  <c r="X123" i="18"/>
  <c r="AB123" i="18"/>
  <c r="AB127" i="18" s="1"/>
  <c r="F114" i="18"/>
  <c r="G117" i="18"/>
  <c r="Q118" i="18"/>
  <c r="U118" i="18"/>
  <c r="Y118" i="18"/>
  <c r="AC118" i="18"/>
  <c r="Y134" i="18"/>
  <c r="AC134" i="18"/>
  <c r="H134" i="18"/>
  <c r="S141" i="18"/>
  <c r="AE141" i="18"/>
  <c r="AB134" i="18"/>
  <c r="I162" i="18"/>
  <c r="U164" i="18"/>
  <c r="L167" i="18"/>
  <c r="L164" i="18" s="1"/>
  <c r="T167" i="18"/>
  <c r="AC167" i="18"/>
  <c r="AC162" i="18" s="1"/>
  <c r="M176" i="18"/>
  <c r="AC176" i="18"/>
  <c r="Q33" i="18"/>
  <c r="S78" i="18"/>
  <c r="AE78" i="18"/>
  <c r="E120" i="18"/>
  <c r="E118" i="18" s="1"/>
  <c r="J68" i="18"/>
  <c r="P100" i="18"/>
  <c r="P98" i="18" s="1"/>
  <c r="W17" i="18"/>
  <c r="N59" i="18"/>
  <c r="T78" i="18"/>
  <c r="U88" i="18"/>
  <c r="X118" i="18"/>
  <c r="AB118" i="18"/>
  <c r="D170" i="18"/>
  <c r="AC57" i="18"/>
  <c r="B47" i="18"/>
  <c r="F47" i="18" s="1"/>
  <c r="G47" i="18"/>
  <c r="R43" i="18"/>
  <c r="R40" i="18" s="1"/>
  <c r="L43" i="18"/>
  <c r="L40" i="18" s="1"/>
  <c r="G49" i="18"/>
  <c r="B49" i="18"/>
  <c r="F49" i="18" s="1"/>
  <c r="V17" i="18"/>
  <c r="S17" i="18"/>
  <c r="S58" i="18"/>
  <c r="S57" i="18" s="1"/>
  <c r="AE17" i="18"/>
  <c r="AE58" i="18"/>
  <c r="M59" i="18"/>
  <c r="E30" i="18"/>
  <c r="E43" i="18"/>
  <c r="E40" i="18" s="1"/>
  <c r="V70" i="18"/>
  <c r="V63" i="18"/>
  <c r="Y17" i="18"/>
  <c r="L58" i="18"/>
  <c r="H59" i="18"/>
  <c r="O33" i="18"/>
  <c r="P69" i="18"/>
  <c r="B69" i="18" s="1"/>
  <c r="B65" i="18"/>
  <c r="B26" i="18"/>
  <c r="F26" i="18" s="1"/>
  <c r="C24" i="18"/>
  <c r="B28" i="18"/>
  <c r="U57" i="18"/>
  <c r="U17" i="18"/>
  <c r="AC17" i="18"/>
  <c r="M57" i="18"/>
  <c r="E28" i="18"/>
  <c r="X63" i="18"/>
  <c r="E64" i="18"/>
  <c r="E69" i="18" s="1"/>
  <c r="E65" i="18"/>
  <c r="E70" i="18" s="1"/>
  <c r="T70" i="18"/>
  <c r="T68" i="18" s="1"/>
  <c r="B67" i="18"/>
  <c r="F67" i="18" s="1"/>
  <c r="M68" i="18"/>
  <c r="L73" i="18"/>
  <c r="P73" i="18"/>
  <c r="B79" i="18"/>
  <c r="G74" i="18"/>
  <c r="H78" i="18"/>
  <c r="F84" i="18"/>
  <c r="J88" i="18"/>
  <c r="Z88" i="18"/>
  <c r="I108" i="18"/>
  <c r="M108" i="18"/>
  <c r="Q108" i="18"/>
  <c r="U108" i="18"/>
  <c r="Y108" i="18"/>
  <c r="AC108" i="18"/>
  <c r="F130" i="18"/>
  <c r="L137" i="18"/>
  <c r="L134" i="18" s="1"/>
  <c r="AD137" i="18"/>
  <c r="AD134" i="18" s="1"/>
  <c r="AB141" i="18"/>
  <c r="U162" i="18"/>
  <c r="Q164" i="18"/>
  <c r="R166" i="18"/>
  <c r="H167" i="18"/>
  <c r="AB167" i="18"/>
  <c r="AB164" i="18" s="1"/>
  <c r="J170" i="18"/>
  <c r="Z170" i="18"/>
  <c r="D162" i="18"/>
  <c r="H176" i="18"/>
  <c r="L176" i="18"/>
  <c r="P176" i="18"/>
  <c r="T176" i="18"/>
  <c r="X176" i="18"/>
  <c r="AB176" i="18"/>
  <c r="X177" i="18"/>
  <c r="AA164" i="18"/>
  <c r="X79" i="18"/>
  <c r="X78" i="18" s="1"/>
  <c r="O78" i="18"/>
  <c r="B90" i="18"/>
  <c r="B88" i="18" s="1"/>
  <c r="J123" i="18"/>
  <c r="J127" i="18" s="1"/>
  <c r="R123" i="18"/>
  <c r="Z123" i="18"/>
  <c r="B109" i="18"/>
  <c r="J118" i="18"/>
  <c r="N120" i="18"/>
  <c r="N118" i="18" s="1"/>
  <c r="R118" i="18"/>
  <c r="V118" i="18"/>
  <c r="Z118" i="18"/>
  <c r="AD120" i="18"/>
  <c r="AD118" i="18" s="1"/>
  <c r="H166" i="18"/>
  <c r="B35" i="18"/>
  <c r="B36" i="18"/>
  <c r="N33" i="18"/>
  <c r="Z63" i="18"/>
  <c r="X70" i="18"/>
  <c r="X68" i="18" s="1"/>
  <c r="G67" i="18"/>
  <c r="S68" i="18"/>
  <c r="AD68" i="18"/>
  <c r="D73" i="18"/>
  <c r="U78" i="18"/>
  <c r="Y78" i="18"/>
  <c r="K78" i="18"/>
  <c r="G87" i="18"/>
  <c r="N88" i="18"/>
  <c r="AD88" i="18"/>
  <c r="AE123" i="18"/>
  <c r="AE127" i="18" s="1"/>
  <c r="B110" i="18"/>
  <c r="F107" i="18"/>
  <c r="G114" i="18"/>
  <c r="C120" i="18"/>
  <c r="B117" i="18"/>
  <c r="F117" i="18" s="1"/>
  <c r="J134" i="18"/>
  <c r="Z134" i="18"/>
  <c r="N137" i="18"/>
  <c r="N134" i="18" s="1"/>
  <c r="G143" i="18"/>
  <c r="Y162" i="18"/>
  <c r="AD166" i="18"/>
  <c r="AD198" i="18" s="1"/>
  <c r="J167" i="18"/>
  <c r="J162" i="18" s="1"/>
  <c r="AD167" i="18"/>
  <c r="H170" i="18"/>
  <c r="N176" i="18"/>
  <c r="V176" i="18"/>
  <c r="Z176" i="18"/>
  <c r="AD176" i="18"/>
  <c r="D63" i="18"/>
  <c r="I68" i="18"/>
  <c r="L98" i="18"/>
  <c r="T98" i="18"/>
  <c r="AB98" i="18"/>
  <c r="V164" i="18"/>
  <c r="B180" i="18"/>
  <c r="B176" i="18" s="1"/>
  <c r="B136" i="18"/>
  <c r="B25" i="18"/>
  <c r="AD57" i="18"/>
  <c r="M17" i="18"/>
  <c r="X17" i="18"/>
  <c r="I17" i="18"/>
  <c r="AD17" i="18"/>
  <c r="T20" i="18"/>
  <c r="T17" i="18" s="1"/>
  <c r="E24" i="18"/>
  <c r="O58" i="18"/>
  <c r="T63" i="18"/>
  <c r="AB63" i="18"/>
  <c r="B64" i="18"/>
  <c r="Q68" i="18"/>
  <c r="N70" i="18"/>
  <c r="P17" i="18"/>
  <c r="Z17" i="18"/>
  <c r="B19" i="18"/>
  <c r="E19" i="18"/>
  <c r="K17" i="18"/>
  <c r="L20" i="18"/>
  <c r="G25" i="18"/>
  <c r="J33" i="18"/>
  <c r="T43" i="18"/>
  <c r="T40" i="18" s="1"/>
  <c r="K58" i="18"/>
  <c r="AA58" i="18"/>
  <c r="W59" i="18"/>
  <c r="W68" i="18"/>
  <c r="AC68" i="18"/>
  <c r="H68" i="18"/>
  <c r="E77" i="18"/>
  <c r="E80" i="18" s="1"/>
  <c r="M80" i="18"/>
  <c r="M78" i="18" s="1"/>
  <c r="D83" i="18"/>
  <c r="R17" i="18"/>
  <c r="D33" i="18"/>
  <c r="H58" i="18"/>
  <c r="AE59" i="18"/>
  <c r="O70" i="18"/>
  <c r="O63" i="18"/>
  <c r="AB68" i="18"/>
  <c r="AD98" i="18"/>
  <c r="N17" i="18"/>
  <c r="AA59" i="18"/>
  <c r="P63" i="18"/>
  <c r="L70" i="18"/>
  <c r="J79" i="18"/>
  <c r="J78" i="18" s="1"/>
  <c r="J73" i="18"/>
  <c r="R79" i="18"/>
  <c r="R78" i="18" s="1"/>
  <c r="R73" i="18"/>
  <c r="AD79" i="18"/>
  <c r="AD78" i="18" s="1"/>
  <c r="AD73" i="18"/>
  <c r="E73" i="18"/>
  <c r="C83" i="18"/>
  <c r="M88" i="18"/>
  <c r="R88" i="18"/>
  <c r="W88" i="18"/>
  <c r="AC88" i="18"/>
  <c r="H122" i="18"/>
  <c r="H121" i="18" s="1"/>
  <c r="H88" i="18"/>
  <c r="L122" i="18"/>
  <c r="L88" i="18"/>
  <c r="P122" i="18"/>
  <c r="T122" i="18"/>
  <c r="T88" i="18"/>
  <c r="X122" i="18"/>
  <c r="X88" i="18"/>
  <c r="AB122" i="18"/>
  <c r="AB88" i="18"/>
  <c r="E93" i="18"/>
  <c r="AD93" i="18"/>
  <c r="D99" i="18"/>
  <c r="B95" i="18"/>
  <c r="F95" i="18" s="1"/>
  <c r="R98" i="18"/>
  <c r="C99" i="18"/>
  <c r="G99" i="18" s="1"/>
  <c r="E103" i="18"/>
  <c r="G105" i="18"/>
  <c r="F115" i="18"/>
  <c r="F85" i="18"/>
  <c r="C90" i="18"/>
  <c r="Y122" i="18"/>
  <c r="Y98" i="18"/>
  <c r="AC122" i="18"/>
  <c r="AC98" i="18"/>
  <c r="C110" i="18"/>
  <c r="G85" i="18"/>
  <c r="F87" i="18"/>
  <c r="F94" i="18"/>
  <c r="F99" i="18"/>
  <c r="E109" i="18"/>
  <c r="F104" i="18"/>
  <c r="D119" i="18"/>
  <c r="D113" i="18"/>
  <c r="D80" i="18"/>
  <c r="D78" i="18" s="1"/>
  <c r="E79" i="18"/>
  <c r="V78" i="18"/>
  <c r="C80" i="18"/>
  <c r="B83" i="18"/>
  <c r="E89" i="18"/>
  <c r="G84" i="18"/>
  <c r="E83" i="18"/>
  <c r="V88" i="18"/>
  <c r="E90" i="18"/>
  <c r="G94" i="18"/>
  <c r="E100" i="18"/>
  <c r="C103" i="18"/>
  <c r="G104" i="18"/>
  <c r="F105" i="18"/>
  <c r="C113" i="18"/>
  <c r="G115" i="18"/>
  <c r="D120" i="18"/>
  <c r="B119" i="18"/>
  <c r="F119" i="18" s="1"/>
  <c r="C129" i="18"/>
  <c r="G130" i="18"/>
  <c r="O134" i="18"/>
  <c r="S134" i="18"/>
  <c r="W134" i="18"/>
  <c r="AE134" i="18"/>
  <c r="AE7" i="18" s="1"/>
  <c r="V137" i="18"/>
  <c r="V134" i="18" s="1"/>
  <c r="N167" i="18"/>
  <c r="N162" i="18" s="1"/>
  <c r="Z167" i="18"/>
  <c r="Z162" i="18" s="1"/>
  <c r="K170" i="18"/>
  <c r="X166" i="18"/>
  <c r="X198" i="18" s="1"/>
  <c r="X170" i="18"/>
  <c r="O177" i="18"/>
  <c r="AA177" i="18"/>
  <c r="C119" i="18"/>
  <c r="G119" i="18" s="1"/>
  <c r="R137" i="18"/>
  <c r="R134" i="18" s="1"/>
  <c r="W141" i="18"/>
  <c r="F143" i="18"/>
  <c r="E141" i="18"/>
  <c r="E136" i="18"/>
  <c r="O164" i="18"/>
  <c r="V170" i="18"/>
  <c r="B172" i="18"/>
  <c r="B170" i="18" s="1"/>
  <c r="W177" i="18"/>
  <c r="C209" i="18"/>
  <c r="E129" i="18"/>
  <c r="J141" i="18"/>
  <c r="B144" i="18"/>
  <c r="C180" i="18"/>
  <c r="J177" i="18"/>
  <c r="R177" i="18"/>
  <c r="R167" i="18"/>
  <c r="E144" i="18"/>
  <c r="K141" i="18"/>
  <c r="K137" i="18"/>
  <c r="K134" i="18" s="1"/>
  <c r="AA141" i="18"/>
  <c r="AA137" i="18"/>
  <c r="AA134" i="18" s="1"/>
  <c r="P166" i="18"/>
  <c r="P198" i="18" s="1"/>
  <c r="P170" i="18"/>
  <c r="K167" i="18"/>
  <c r="K164" i="18" s="1"/>
  <c r="E180" i="18"/>
  <c r="S167" i="18"/>
  <c r="S164" i="18" s="1"/>
  <c r="S177" i="18"/>
  <c r="AA162" i="18"/>
  <c r="B213" i="18"/>
  <c r="B227" i="18" s="1"/>
  <c r="G213" i="18"/>
  <c r="E209" i="18"/>
  <c r="AE13" i="18" l="1"/>
  <c r="AE151" i="18" s="1"/>
  <c r="AE159" i="18" s="1"/>
  <c r="P196" i="18"/>
  <c r="P195" i="18" s="1"/>
  <c r="P205" i="18"/>
  <c r="P203" i="18" s="1"/>
  <c r="P202" i="18" s="1"/>
  <c r="AC13" i="18"/>
  <c r="AC151" i="18" s="1"/>
  <c r="AC159" i="18" s="1"/>
  <c r="X205" i="18"/>
  <c r="X203" i="18" s="1"/>
  <c r="X202" i="18" s="1"/>
  <c r="X196" i="18"/>
  <c r="X195" i="18" s="1"/>
  <c r="AD205" i="18"/>
  <c r="AD203" i="18" s="1"/>
  <c r="AD202" i="18" s="1"/>
  <c r="AD196" i="18"/>
  <c r="AD195" i="18" s="1"/>
  <c r="AB13" i="18"/>
  <c r="AB151" i="18" s="1"/>
  <c r="AB159" i="18" s="1"/>
  <c r="E224" i="18"/>
  <c r="G224" i="18" s="1"/>
  <c r="G225" i="18"/>
  <c r="E218" i="18"/>
  <c r="G220" i="18"/>
  <c r="G113" i="18"/>
  <c r="G36" i="18"/>
  <c r="Y57" i="18"/>
  <c r="Y13" i="18"/>
  <c r="Y151" i="18" s="1"/>
  <c r="Y159" i="18" s="1"/>
  <c r="J17" i="18"/>
  <c r="B20" i="18"/>
  <c r="W13" i="18"/>
  <c r="W151" i="18" s="1"/>
  <c r="W159" i="18" s="1"/>
  <c r="W158" i="18"/>
  <c r="B220" i="18"/>
  <c r="F227" i="18"/>
  <c r="B225" i="18"/>
  <c r="C122" i="18"/>
  <c r="U158" i="18"/>
  <c r="U156" i="18" s="1"/>
  <c r="U155" i="18" s="1"/>
  <c r="U148" i="18"/>
  <c r="U147" i="18" s="1"/>
  <c r="G196" i="18"/>
  <c r="F196" i="18"/>
  <c r="E195" i="18"/>
  <c r="C196" i="18"/>
  <c r="C195" i="18" s="1"/>
  <c r="C205" i="18"/>
  <c r="C203" i="18" s="1"/>
  <c r="C202" i="18" s="1"/>
  <c r="G205" i="18"/>
  <c r="E203" i="18"/>
  <c r="F205" i="18"/>
  <c r="G198" i="18"/>
  <c r="N158" i="18"/>
  <c r="S13" i="18"/>
  <c r="S151" i="18" s="1"/>
  <c r="S159" i="18" s="1"/>
  <c r="V121" i="18"/>
  <c r="O59" i="18"/>
  <c r="F65" i="18"/>
  <c r="E33" i="18"/>
  <c r="F19" i="18"/>
  <c r="N57" i="18"/>
  <c r="V59" i="18"/>
  <c r="F110" i="18"/>
  <c r="F113" i="18"/>
  <c r="Q234" i="18"/>
  <c r="R162" i="18"/>
  <c r="F36" i="18"/>
  <c r="Z121" i="18"/>
  <c r="Y121" i="18"/>
  <c r="X121" i="18"/>
  <c r="R121" i="18"/>
  <c r="T127" i="18"/>
  <c r="U121" i="18"/>
  <c r="R127" i="18"/>
  <c r="Q121" i="18"/>
  <c r="AC121" i="18"/>
  <c r="G26" i="18"/>
  <c r="R68" i="18"/>
  <c r="Q126" i="18"/>
  <c r="Q12" i="18" s="1"/>
  <c r="Q233" i="18" s="1"/>
  <c r="Q231" i="18" s="1"/>
  <c r="L162" i="18"/>
  <c r="X57" i="18"/>
  <c r="S124" i="18"/>
  <c r="M121" i="18"/>
  <c r="U124" i="18"/>
  <c r="B177" i="18"/>
  <c r="V127" i="18"/>
  <c r="M162" i="18"/>
  <c r="AA121" i="18"/>
  <c r="P57" i="18"/>
  <c r="O121" i="18"/>
  <c r="AB57" i="18"/>
  <c r="Z57" i="18"/>
  <c r="I121" i="18"/>
  <c r="I234" i="18"/>
  <c r="S121" i="18"/>
  <c r="O126" i="18"/>
  <c r="O12" i="18" s="1"/>
  <c r="L121" i="18"/>
  <c r="J59" i="18"/>
  <c r="P68" i="18"/>
  <c r="Z12" i="18"/>
  <c r="AD164" i="18"/>
  <c r="AC234" i="18"/>
  <c r="J121" i="18"/>
  <c r="W121" i="18"/>
  <c r="Z127" i="18"/>
  <c r="Z234" i="18" s="1"/>
  <c r="K121" i="18"/>
  <c r="Q57" i="18"/>
  <c r="AB121" i="18"/>
  <c r="AA127" i="18"/>
  <c r="U234" i="18"/>
  <c r="B78" i="18"/>
  <c r="X127" i="18"/>
  <c r="F69" i="18"/>
  <c r="F28" i="18"/>
  <c r="V126" i="18"/>
  <c r="V12" i="18" s="1"/>
  <c r="B73" i="18"/>
  <c r="F73" i="18" s="1"/>
  <c r="C170" i="18"/>
  <c r="P123" i="18"/>
  <c r="P127" i="18" s="1"/>
  <c r="AE12" i="18"/>
  <c r="M127" i="18"/>
  <c r="M234" i="18" s="1"/>
  <c r="F64" i="18"/>
  <c r="I57" i="18"/>
  <c r="E63" i="18"/>
  <c r="R59" i="18"/>
  <c r="B137" i="18"/>
  <c r="B134" i="18" s="1"/>
  <c r="B33" i="18"/>
  <c r="N123" i="18"/>
  <c r="N121" i="18" s="1"/>
  <c r="AC164" i="18"/>
  <c r="J164" i="18"/>
  <c r="AB162" i="18"/>
  <c r="P88" i="18"/>
  <c r="AD123" i="18"/>
  <c r="AD127" i="18" s="1"/>
  <c r="S12" i="18"/>
  <c r="F35" i="18"/>
  <c r="G28" i="18"/>
  <c r="B166" i="18"/>
  <c r="T121" i="18"/>
  <c r="V68" i="18"/>
  <c r="B108" i="18"/>
  <c r="E20" i="18"/>
  <c r="E59" i="18" s="1"/>
  <c r="T164" i="18"/>
  <c r="T162" i="18"/>
  <c r="AE124" i="18"/>
  <c r="H126" i="18"/>
  <c r="H124" i="18" s="1"/>
  <c r="X126" i="18"/>
  <c r="X12" i="18" s="1"/>
  <c r="X150" i="18" s="1"/>
  <c r="X158" i="18" s="1"/>
  <c r="J126" i="18"/>
  <c r="J12" i="18" s="1"/>
  <c r="B70" i="18"/>
  <c r="F70" i="18" s="1"/>
  <c r="C33" i="18"/>
  <c r="G65" i="18"/>
  <c r="C70" i="18"/>
  <c r="G70" i="18" s="1"/>
  <c r="B24" i="18"/>
  <c r="F24" i="18" s="1"/>
  <c r="AE121" i="18"/>
  <c r="D90" i="18"/>
  <c r="D88" i="18" s="1"/>
  <c r="P126" i="18"/>
  <c r="P12" i="18" s="1"/>
  <c r="R126" i="18"/>
  <c r="R12" i="18" s="1"/>
  <c r="R150" i="18" s="1"/>
  <c r="R158" i="18" s="1"/>
  <c r="AE234" i="18"/>
  <c r="L126" i="18"/>
  <c r="L12" i="18" s="1"/>
  <c r="N164" i="18"/>
  <c r="AD162" i="18"/>
  <c r="K162" i="18"/>
  <c r="G120" i="18"/>
  <c r="F74" i="18"/>
  <c r="B63" i="18"/>
  <c r="B120" i="18"/>
  <c r="F120" i="18" s="1"/>
  <c r="S162" i="18"/>
  <c r="B122" i="18"/>
  <c r="B126" i="18" s="1"/>
  <c r="AB126" i="18"/>
  <c r="AB12" i="18" s="1"/>
  <c r="AE57" i="18"/>
  <c r="H162" i="18"/>
  <c r="H164" i="18"/>
  <c r="F30" i="18"/>
  <c r="G30" i="18"/>
  <c r="C59" i="18"/>
  <c r="C57" i="18" s="1"/>
  <c r="D98" i="18"/>
  <c r="F25" i="18"/>
  <c r="W233" i="18"/>
  <c r="U233" i="18"/>
  <c r="U10" i="18"/>
  <c r="U9" i="18" s="1"/>
  <c r="U7" i="18" s="1"/>
  <c r="F109" i="18"/>
  <c r="G109" i="18"/>
  <c r="E108" i="18"/>
  <c r="G209" i="18"/>
  <c r="G180" i="18"/>
  <c r="F180" i="18"/>
  <c r="E177" i="18"/>
  <c r="E176" i="18"/>
  <c r="E167" i="18"/>
  <c r="Y126" i="18"/>
  <c r="L127" i="18"/>
  <c r="L68" i="18"/>
  <c r="F77" i="18"/>
  <c r="G77" i="18"/>
  <c r="AA12" i="18"/>
  <c r="AA150" i="18" s="1"/>
  <c r="AA57" i="18"/>
  <c r="B58" i="18"/>
  <c r="O57" i="18"/>
  <c r="G35" i="18"/>
  <c r="R164" i="18"/>
  <c r="Z164" i="18"/>
  <c r="G144" i="18"/>
  <c r="E137" i="18"/>
  <c r="E134" i="18" s="1"/>
  <c r="F144" i="18"/>
  <c r="C176" i="18"/>
  <c r="C167" i="18"/>
  <c r="C177" i="18"/>
  <c r="B167" i="18"/>
  <c r="F136" i="18"/>
  <c r="G136" i="18"/>
  <c r="E123" i="18"/>
  <c r="E127" i="18" s="1"/>
  <c r="F90" i="18"/>
  <c r="G90" i="18"/>
  <c r="C123" i="18"/>
  <c r="C88" i="18"/>
  <c r="W124" i="18"/>
  <c r="AD126" i="18"/>
  <c r="AD12" i="18" s="1"/>
  <c r="AD150" i="18" s="1"/>
  <c r="W57" i="18"/>
  <c r="D24" i="18"/>
  <c r="T126" i="18"/>
  <c r="T12" i="18" s="1"/>
  <c r="K12" i="18"/>
  <c r="K57" i="18"/>
  <c r="L17" i="18"/>
  <c r="B17" i="18"/>
  <c r="L59" i="18"/>
  <c r="L13" i="18" s="1"/>
  <c r="L151" i="18" s="1"/>
  <c r="T59" i="18"/>
  <c r="N233" i="18"/>
  <c r="G100" i="18"/>
  <c r="G80" i="18"/>
  <c r="F80" i="18"/>
  <c r="K124" i="18"/>
  <c r="K234" i="18"/>
  <c r="O127" i="18"/>
  <c r="O13" i="18" s="1"/>
  <c r="O151" i="18" s="1"/>
  <c r="O68" i="18"/>
  <c r="G64" i="18"/>
  <c r="N68" i="18"/>
  <c r="AB234" i="18"/>
  <c r="S234" i="18"/>
  <c r="F129" i="18"/>
  <c r="G129" i="18"/>
  <c r="F141" i="18"/>
  <c r="G141" i="18"/>
  <c r="E122" i="18"/>
  <c r="G89" i="18"/>
  <c r="F89" i="18"/>
  <c r="E88" i="18"/>
  <c r="M233" i="18"/>
  <c r="F213" i="18"/>
  <c r="B211" i="18"/>
  <c r="P164" i="18"/>
  <c r="P162" i="18"/>
  <c r="C118" i="18"/>
  <c r="D118" i="18"/>
  <c r="D103" i="18"/>
  <c r="D110" i="18"/>
  <c r="D108" i="18" s="1"/>
  <c r="D122" i="18"/>
  <c r="G103" i="18"/>
  <c r="F103" i="18"/>
  <c r="B93" i="18"/>
  <c r="F93" i="18" s="1"/>
  <c r="B100" i="18"/>
  <c r="F100" i="18" s="1"/>
  <c r="AC126" i="18"/>
  <c r="I233" i="18"/>
  <c r="G110" i="18"/>
  <c r="C108" i="18"/>
  <c r="H57" i="18"/>
  <c r="D93" i="18"/>
  <c r="E58" i="18"/>
  <c r="G19" i="18"/>
  <c r="I124" i="18"/>
  <c r="G24" i="18"/>
  <c r="B43" i="18"/>
  <c r="E68" i="18"/>
  <c r="F172" i="18"/>
  <c r="G172" i="18"/>
  <c r="E170" i="18"/>
  <c r="E166" i="18"/>
  <c r="F79" i="18"/>
  <c r="E78" i="18"/>
  <c r="G93" i="18"/>
  <c r="X162" i="18"/>
  <c r="X164" i="18"/>
  <c r="G83" i="18"/>
  <c r="F83" i="18"/>
  <c r="E98" i="18"/>
  <c r="C98" i="18"/>
  <c r="C79" i="18"/>
  <c r="C73" i="18"/>
  <c r="G73" i="18" s="1"/>
  <c r="C63" i="18"/>
  <c r="AE233" i="18" l="1"/>
  <c r="AE231" i="18" s="1"/>
  <c r="AE150" i="18"/>
  <c r="W148" i="18"/>
  <c r="W147" i="18" s="1"/>
  <c r="W234" i="18"/>
  <c r="W231" i="18" s="1"/>
  <c r="AA13" i="18"/>
  <c r="AA151" i="18" s="1"/>
  <c r="AA159" i="18" s="1"/>
  <c r="AA158" i="18"/>
  <c r="E217" i="18"/>
  <c r="G217" i="18" s="1"/>
  <c r="G218" i="18"/>
  <c r="F33" i="18"/>
  <c r="Y234" i="18"/>
  <c r="Z233" i="18"/>
  <c r="Z231" i="18" s="1"/>
  <c r="Z150" i="18"/>
  <c r="L233" i="18"/>
  <c r="L150" i="18"/>
  <c r="L158" i="18" s="1"/>
  <c r="J233" i="18"/>
  <c r="J150" i="18"/>
  <c r="J158" i="18" s="1"/>
  <c r="V233" i="18"/>
  <c r="V150" i="18"/>
  <c r="V158" i="18" s="1"/>
  <c r="J57" i="18"/>
  <c r="J13" i="18"/>
  <c r="J151" i="18" s="1"/>
  <c r="W156" i="18"/>
  <c r="W155" i="18" s="1"/>
  <c r="B224" i="18"/>
  <c r="F224" i="18" s="1"/>
  <c r="F225" i="18"/>
  <c r="B218" i="18"/>
  <c r="F220" i="18"/>
  <c r="E202" i="18"/>
  <c r="G203" i="18"/>
  <c r="F203" i="18"/>
  <c r="G195" i="18"/>
  <c r="F195" i="18"/>
  <c r="O159" i="18"/>
  <c r="O156" i="18" s="1"/>
  <c r="O155" i="18" s="1"/>
  <c r="O148" i="18"/>
  <c r="O147" i="18" s="1"/>
  <c r="X13" i="18"/>
  <c r="X151" i="18" s="1"/>
  <c r="AD13" i="18"/>
  <c r="AD151" i="18" s="1"/>
  <c r="AD159" i="18" s="1"/>
  <c r="AD158" i="18"/>
  <c r="P13" i="18"/>
  <c r="P151" i="18" s="1"/>
  <c r="P159" i="18" s="1"/>
  <c r="P233" i="18"/>
  <c r="P150" i="18"/>
  <c r="E13" i="18"/>
  <c r="E151" i="18" s="1"/>
  <c r="E159" i="18" s="1"/>
  <c r="S233" i="18"/>
  <c r="S231" i="18" s="1"/>
  <c r="S150" i="18"/>
  <c r="R57" i="18"/>
  <c r="R13" i="18"/>
  <c r="R151" i="18" s="1"/>
  <c r="AB233" i="18"/>
  <c r="AB231" i="18" s="1"/>
  <c r="AB150" i="18"/>
  <c r="V57" i="18"/>
  <c r="V13" i="18"/>
  <c r="V151" i="18" s="1"/>
  <c r="L159" i="18"/>
  <c r="L156" i="18" s="1"/>
  <c r="L155" i="18" s="1"/>
  <c r="L148" i="18"/>
  <c r="L147" i="18" s="1"/>
  <c r="Z124" i="18"/>
  <c r="G33" i="18"/>
  <c r="B164" i="18"/>
  <c r="AD121" i="18"/>
  <c r="F63" i="18"/>
  <c r="J234" i="18"/>
  <c r="J231" i="18" s="1"/>
  <c r="M124" i="18"/>
  <c r="I10" i="18"/>
  <c r="I9" i="18" s="1"/>
  <c r="I7" i="18" s="1"/>
  <c r="AE10" i="18"/>
  <c r="S10" i="18"/>
  <c r="S9" i="18" s="1"/>
  <c r="S7" i="18" s="1"/>
  <c r="V10" i="18"/>
  <c r="V9" i="18" s="1"/>
  <c r="V7" i="18" s="1"/>
  <c r="I231" i="18"/>
  <c r="X10" i="18"/>
  <c r="X9" i="18" s="1"/>
  <c r="X7" i="18" s="1"/>
  <c r="P121" i="18"/>
  <c r="V124" i="18"/>
  <c r="G63" i="18"/>
  <c r="Q10" i="18"/>
  <c r="Q9" i="18" s="1"/>
  <c r="Q7" i="18" s="1"/>
  <c r="G20" i="18"/>
  <c r="H12" i="18"/>
  <c r="B12" i="18" s="1"/>
  <c r="B150" i="18" s="1"/>
  <c r="Z10" i="18"/>
  <c r="Z9" i="18" s="1"/>
  <c r="Z7" i="18" s="1"/>
  <c r="R233" i="18"/>
  <c r="U231" i="18"/>
  <c r="R124" i="18"/>
  <c r="E17" i="18"/>
  <c r="O124" i="18"/>
  <c r="W10" i="18"/>
  <c r="W9" i="18" s="1"/>
  <c r="W7" i="18" s="1"/>
  <c r="Q124" i="18"/>
  <c r="AA124" i="18"/>
  <c r="F20" i="18"/>
  <c r="B68" i="18"/>
  <c r="F68" i="18" s="1"/>
  <c r="M10" i="18"/>
  <c r="M9" i="18" s="1"/>
  <c r="M7" i="18" s="1"/>
  <c r="X124" i="18"/>
  <c r="N127" i="18"/>
  <c r="N13" i="18" s="1"/>
  <c r="N151" i="18" s="1"/>
  <c r="D68" i="18"/>
  <c r="X233" i="18"/>
  <c r="T124" i="18"/>
  <c r="J124" i="18"/>
  <c r="P124" i="18"/>
  <c r="L124" i="18"/>
  <c r="B162" i="18"/>
  <c r="G43" i="18"/>
  <c r="C40" i="18"/>
  <c r="D40" i="18"/>
  <c r="M231" i="18"/>
  <c r="O234" i="18"/>
  <c r="C17" i="18"/>
  <c r="AB124" i="18"/>
  <c r="B118" i="18"/>
  <c r="F118" i="18" s="1"/>
  <c r="G170" i="18"/>
  <c r="F170" i="18"/>
  <c r="G122" i="18"/>
  <c r="F122" i="18"/>
  <c r="E121" i="18"/>
  <c r="C126" i="18"/>
  <c r="G69" i="18"/>
  <c r="B209" i="18"/>
  <c r="F209" i="18" s="1"/>
  <c r="F211" i="18"/>
  <c r="F88" i="18"/>
  <c r="G88" i="18"/>
  <c r="C127" i="18"/>
  <c r="D123" i="18"/>
  <c r="L57" i="18"/>
  <c r="K233" i="18"/>
  <c r="K231" i="18" s="1"/>
  <c r="K10" i="18"/>
  <c r="K9" i="18" s="1"/>
  <c r="K7" i="18" s="1"/>
  <c r="AD233" i="18"/>
  <c r="G134" i="18"/>
  <c r="F134" i="18"/>
  <c r="O233" i="18"/>
  <c r="F177" i="18"/>
  <c r="G177" i="18"/>
  <c r="C78" i="18"/>
  <c r="G79" i="18"/>
  <c r="B40" i="18"/>
  <c r="F40" i="18" s="1"/>
  <c r="F43" i="18"/>
  <c r="C68" i="18"/>
  <c r="AB10" i="18"/>
  <c r="AB9" i="18" s="1"/>
  <c r="AB7" i="18" s="1"/>
  <c r="T234" i="18"/>
  <c r="T57" i="18"/>
  <c r="B59" i="18"/>
  <c r="F59" i="18" s="1"/>
  <c r="T233" i="18"/>
  <c r="G137" i="18"/>
  <c r="F137" i="18"/>
  <c r="Y12" i="18"/>
  <c r="Y150" i="18" s="1"/>
  <c r="Y124" i="18"/>
  <c r="G118" i="18"/>
  <c r="G108" i="18"/>
  <c r="F108" i="18"/>
  <c r="AD124" i="18"/>
  <c r="B98" i="18"/>
  <c r="F98" i="18" s="1"/>
  <c r="B123" i="18"/>
  <c r="F123" i="18" s="1"/>
  <c r="G123" i="18"/>
  <c r="C164" i="18"/>
  <c r="C162" i="18"/>
  <c r="AA233" i="18"/>
  <c r="AA10" i="18"/>
  <c r="AA9" i="18" s="1"/>
  <c r="AA7" i="18" s="1"/>
  <c r="C121" i="18"/>
  <c r="G167" i="18"/>
  <c r="F167" i="18"/>
  <c r="E126" i="18"/>
  <c r="E12" i="18" s="1"/>
  <c r="E150" i="18" s="1"/>
  <c r="AC12" i="18"/>
  <c r="AC150" i="18" s="1"/>
  <c r="AC124" i="18"/>
  <c r="G58" i="18"/>
  <c r="F58" i="18"/>
  <c r="E57" i="18"/>
  <c r="H234" i="18"/>
  <c r="G176" i="18"/>
  <c r="F176" i="18"/>
  <c r="G166" i="18"/>
  <c r="E164" i="18"/>
  <c r="F166" i="18"/>
  <c r="E162" i="18"/>
  <c r="D126" i="18"/>
  <c r="D12" i="18" s="1"/>
  <c r="F78" i="18"/>
  <c r="G98" i="18"/>
  <c r="H233" i="18"/>
  <c r="D17" i="18"/>
  <c r="P10" i="18" l="1"/>
  <c r="P9" i="18" s="1"/>
  <c r="P7" i="18" s="1"/>
  <c r="AE158" i="18"/>
  <c r="AE156" i="18" s="1"/>
  <c r="AE148" i="18"/>
  <c r="C12" i="18"/>
  <c r="AC158" i="18"/>
  <c r="AC156" i="18" s="1"/>
  <c r="AC155" i="18" s="1"/>
  <c r="AC148" i="18"/>
  <c r="AC147" i="18" s="1"/>
  <c r="AA156" i="18"/>
  <c r="AA155" i="18" s="1"/>
  <c r="AA148" i="18"/>
  <c r="AA147" i="18" s="1"/>
  <c r="AA234" i="18"/>
  <c r="AA231" i="18" s="1"/>
  <c r="AD10" i="18"/>
  <c r="AD9" i="18" s="1"/>
  <c r="AD7" i="18" s="1"/>
  <c r="V234" i="18"/>
  <c r="V231" i="18" s="1"/>
  <c r="Y158" i="18"/>
  <c r="Y156" i="18" s="1"/>
  <c r="Y155" i="18" s="1"/>
  <c r="Y148" i="18"/>
  <c r="Y147" i="18" s="1"/>
  <c r="Z158" i="18"/>
  <c r="Z156" i="18" s="1"/>
  <c r="Z155" i="18" s="1"/>
  <c r="Z148" i="18"/>
  <c r="Z147" i="18" s="1"/>
  <c r="J159" i="18"/>
  <c r="J156" i="18" s="1"/>
  <c r="J155" i="18" s="1"/>
  <c r="J148" i="18"/>
  <c r="J147" i="18" s="1"/>
  <c r="D59" i="18"/>
  <c r="B217" i="18"/>
  <c r="F217" i="18" s="1"/>
  <c r="F218" i="18"/>
  <c r="C233" i="18"/>
  <c r="G12" i="18"/>
  <c r="D150" i="18"/>
  <c r="D158" i="18" s="1"/>
  <c r="D233" i="18"/>
  <c r="G202" i="18"/>
  <c r="F202" i="18"/>
  <c r="AD148" i="18"/>
  <c r="AD147" i="18" s="1"/>
  <c r="AD156" i="18"/>
  <c r="AD155" i="18" s="1"/>
  <c r="X159" i="18"/>
  <c r="X156" i="18" s="1"/>
  <c r="X155" i="18" s="1"/>
  <c r="X148" i="18"/>
  <c r="X147" i="18" s="1"/>
  <c r="X234" i="18"/>
  <c r="X231" i="18" s="1"/>
  <c r="AD234" i="18"/>
  <c r="AD231" i="18" s="1"/>
  <c r="P234" i="18"/>
  <c r="P231" i="18" s="1"/>
  <c r="P148" i="18"/>
  <c r="P147" i="18" s="1"/>
  <c r="P158" i="18"/>
  <c r="P156" i="18" s="1"/>
  <c r="P155" i="18" s="1"/>
  <c r="N159" i="18"/>
  <c r="N156" i="18" s="1"/>
  <c r="N155" i="18" s="1"/>
  <c r="N148" i="18"/>
  <c r="N147" i="18" s="1"/>
  <c r="S158" i="18"/>
  <c r="S156" i="18" s="1"/>
  <c r="S155" i="18" s="1"/>
  <c r="S148" i="18"/>
  <c r="S147" i="18" s="1"/>
  <c r="E158" i="18"/>
  <c r="E156" i="18" s="1"/>
  <c r="E155" i="18" s="1"/>
  <c r="E148" i="18"/>
  <c r="E147" i="18" s="1"/>
  <c r="R159" i="18"/>
  <c r="R156" i="18" s="1"/>
  <c r="R155" i="18" s="1"/>
  <c r="R148" i="18"/>
  <c r="R147" i="18" s="1"/>
  <c r="R234" i="18"/>
  <c r="R231" i="18" s="1"/>
  <c r="B158" i="18"/>
  <c r="F150" i="18"/>
  <c r="AB158" i="18"/>
  <c r="AB156" i="18" s="1"/>
  <c r="AB155" i="18" s="1"/>
  <c r="AB148" i="18"/>
  <c r="AB147" i="18" s="1"/>
  <c r="V159" i="18"/>
  <c r="V156" i="18" s="1"/>
  <c r="V155" i="18" s="1"/>
  <c r="V148" i="18"/>
  <c r="V147" i="18" s="1"/>
  <c r="G17" i="18"/>
  <c r="G59" i="18"/>
  <c r="C13" i="18"/>
  <c r="C151" i="18" s="1"/>
  <c r="J10" i="18"/>
  <c r="J9" i="18" s="1"/>
  <c r="J7" i="18" s="1"/>
  <c r="F17" i="18"/>
  <c r="G57" i="18"/>
  <c r="R10" i="18"/>
  <c r="R9" i="18" s="1"/>
  <c r="R7" i="18" s="1"/>
  <c r="D127" i="18"/>
  <c r="D124" i="18" s="1"/>
  <c r="H10" i="18"/>
  <c r="H9" i="18" s="1"/>
  <c r="H7" i="18" s="1"/>
  <c r="T10" i="18"/>
  <c r="T9" i="18" s="1"/>
  <c r="T7" i="18" s="1"/>
  <c r="N124" i="18"/>
  <c r="E124" i="18"/>
  <c r="G78" i="18"/>
  <c r="O231" i="18"/>
  <c r="G40" i="18"/>
  <c r="T231" i="18"/>
  <c r="O10" i="18"/>
  <c r="O9" i="18" s="1"/>
  <c r="O7" i="18" s="1"/>
  <c r="D121" i="18"/>
  <c r="C124" i="18"/>
  <c r="G127" i="18"/>
  <c r="AC233" i="18"/>
  <c r="AC231" i="18" s="1"/>
  <c r="AC10" i="18"/>
  <c r="AC9" i="18" s="1"/>
  <c r="AC7" i="18" s="1"/>
  <c r="E234" i="18"/>
  <c r="L234" i="18"/>
  <c r="L231" i="18" s="1"/>
  <c r="L10" i="18"/>
  <c r="L9" i="18" s="1"/>
  <c r="L7" i="18" s="1"/>
  <c r="B57" i="18"/>
  <c r="F57" i="18" s="1"/>
  <c r="B233" i="18"/>
  <c r="F164" i="18"/>
  <c r="G164" i="18"/>
  <c r="B13" i="18"/>
  <c r="G126" i="18"/>
  <c r="F126" i="18"/>
  <c r="B127" i="18"/>
  <c r="B121" i="18"/>
  <c r="F121" i="18" s="1"/>
  <c r="Y233" i="18"/>
  <c r="Y231" i="18" s="1"/>
  <c r="Y10" i="18"/>
  <c r="Y9" i="18" s="1"/>
  <c r="Y7" i="18" s="1"/>
  <c r="G68" i="18"/>
  <c r="N234" i="18"/>
  <c r="N231" i="18" s="1"/>
  <c r="N10" i="18"/>
  <c r="N9" i="18" s="1"/>
  <c r="N7" i="18" s="1"/>
  <c r="E233" i="18"/>
  <c r="E10" i="18"/>
  <c r="F12" i="18"/>
  <c r="H231" i="18"/>
  <c r="G162" i="18"/>
  <c r="F162" i="18"/>
  <c r="G121" i="18"/>
  <c r="F158" i="18" l="1"/>
  <c r="C150" i="18"/>
  <c r="C159" i="18"/>
  <c r="G151" i="18"/>
  <c r="C234" i="18"/>
  <c r="D13" i="18"/>
  <c r="B234" i="18"/>
  <c r="B231" i="18" s="1"/>
  <c r="B151" i="18"/>
  <c r="D57" i="18"/>
  <c r="E9" i="18"/>
  <c r="F13" i="18"/>
  <c r="F127" i="18"/>
  <c r="B124" i="18"/>
  <c r="F124" i="18" s="1"/>
  <c r="B10" i="18"/>
  <c r="B9" i="18" s="1"/>
  <c r="B7" i="18" s="1"/>
  <c r="F233" i="18"/>
  <c r="E231" i="18"/>
  <c r="C10" i="18"/>
  <c r="C9" i="18" s="1"/>
  <c r="C7" i="18" s="1"/>
  <c r="G13" i="18"/>
  <c r="G124" i="18"/>
  <c r="D151" i="18" l="1"/>
  <c r="D159" i="18" s="1"/>
  <c r="D156" i="18" s="1"/>
  <c r="D155" i="18" s="1"/>
  <c r="D10" i="18"/>
  <c r="D9" i="18" s="1"/>
  <c r="D7" i="18" s="1"/>
  <c r="G234" i="18"/>
  <c r="C158" i="18"/>
  <c r="G158" i="18" s="1"/>
  <c r="G150" i="18"/>
  <c r="C148" i="18"/>
  <c r="C147" i="18" s="1"/>
  <c r="G147" i="18" s="1"/>
  <c r="F234" i="18"/>
  <c r="D234" i="18"/>
  <c r="D231" i="18" s="1"/>
  <c r="G159" i="18"/>
  <c r="B159" i="18"/>
  <c r="F151" i="18"/>
  <c r="B148" i="18"/>
  <c r="G10" i="18"/>
  <c r="C231" i="18"/>
  <c r="G233" i="18"/>
  <c r="F9" i="18"/>
  <c r="E7" i="18"/>
  <c r="G9" i="18"/>
  <c r="F10" i="18"/>
  <c r="F231" i="18"/>
  <c r="D148" i="18" l="1"/>
  <c r="D147" i="18" s="1"/>
  <c r="C156" i="18"/>
  <c r="G156" i="18" s="1"/>
  <c r="G148" i="18"/>
  <c r="B147" i="18"/>
  <c r="F147" i="18" s="1"/>
  <c r="F148" i="18"/>
  <c r="F159" i="18"/>
  <c r="B156" i="18"/>
  <c r="G231" i="18"/>
  <c r="G7" i="18"/>
  <c r="F7" i="18"/>
  <c r="C155" i="18" l="1"/>
  <c r="G155" i="18" s="1"/>
  <c r="B155" i="18"/>
  <c r="F155" i="18" s="1"/>
  <c r="F156" i="18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comments1.xml><?xml version="1.0" encoding="utf-8"?>
<comments xmlns="http://schemas.openxmlformats.org/spreadsheetml/2006/main">
  <authors>
    <author>Автор</author>
  </authors>
  <commentList>
    <comment ref="B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иные средства</t>
        </r>
      </text>
    </comment>
  </commentList>
</comments>
</file>

<file path=xl/sharedStrings.xml><?xml version="1.0" encoding="utf-8"?>
<sst xmlns="http://schemas.openxmlformats.org/spreadsheetml/2006/main" count="650" uniqueCount="176">
  <si>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</si>
  <si>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</si>
  <si>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</si>
  <si>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</si>
  <si>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</si>
  <si>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</si>
  <si>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</si>
  <si>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</si>
  <si>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</si>
  <si>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</si>
  <si>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</si>
  <si>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</si>
  <si>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</si>
  <si>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</si>
  <si>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</si>
  <si>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</si>
  <si>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</si>
  <si>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</si>
  <si>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</si>
  <si>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</si>
  <si>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</si>
  <si>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</si>
  <si>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</si>
  <si>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</si>
  <si>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</si>
  <si>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</si>
  <si>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</si>
  <si>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</si>
  <si>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</si>
  <si>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</si>
  <si>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</si>
  <si>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</si>
  <si>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</si>
  <si>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</si>
  <si>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</si>
  <si>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</si>
  <si>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</si>
  <si>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</si>
  <si>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</si>
  <si>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</si>
  <si>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</si>
  <si>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</si>
  <si>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</si>
  <si>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</si>
  <si>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</si>
  <si>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</si>
  <si>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</si>
  <si>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</si>
  <si>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</si>
  <si>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</si>
  <si>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</si>
  <si>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</si>
  <si>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</si>
  <si>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</si>
  <si>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</si>
  <si>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</si>
  <si>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</si>
  <si>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</si>
  <si>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</si>
  <si>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</si>
  <si>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</si>
  <si>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</si>
  <si>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</si>
  <si>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</si>
  <si>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</si>
  <si>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</si>
  <si>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</si>
  <si>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</si>
  <si>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</si>
  <si>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</si>
  <si>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</si>
  <si>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</si>
  <si>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</si>
  <si>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</si>
  <si>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</si>
  <si>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</si>
  <si>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</si>
  <si>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</si>
  <si>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</si>
  <si>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</si>
  <si>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</si>
  <si>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</si>
  <si>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</si>
  <si>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</si>
  <si>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</si>
  <si>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</si>
  <si>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</si>
  <si>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</si>
  <si>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</si>
  <si>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</si>
  <si>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</si>
  <si>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</si>
  <si>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</si>
  <si>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</si>
  <si>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</si>
  <si>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</si>
  <si>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</si>
  <si>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</si>
  <si>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</si>
  <si>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</si>
  <si>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</si>
  <si>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</si>
  <si>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</si>
  <si>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</si>
  <si>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</si>
  <si>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</si>
  <si>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</si>
  <si>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</si>
  <si>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</si>
  <si>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</si>
  <si>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</si>
  <si>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</si>
  <si>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</si>
  <si>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План на 2019 год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</si>
  <si>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</si>
  <si>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</si>
  <si>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</si>
  <si>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</si>
  <si>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</si>
  <si>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</si>
  <si>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</si>
  <si>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</si>
  <si>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</si>
  <si>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</si>
  <si>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</si>
  <si>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ИТОГО КСАТ: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</si>
  <si>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</si>
  <si>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</si>
  <si>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</si>
  <si>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</si>
  <si>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</si>
  <si>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>ИТОГО УОДОМС: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</si>
  <si>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</si>
  <si>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</si>
  <si>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</si>
  <si>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Принято и проверено 163 отчета по ОТ от работодателей г.Когалыма за 2018 год.</t>
  </si>
  <si>
    <t>утвержденной постановлением Администрации города Когалыма от 11.10.2013 №2901</t>
  </si>
  <si>
    <t>Задача 1 "Сдерживание роста безработицы и снижение напряжённости на рынке труда"</t>
  </si>
  <si>
    <t>Задача 2 "Совершенствование управления охраной труда в городе Когалыме в рамках переданных полномочий"</t>
  </si>
  <si>
    <t>Задача 3 "Расширение возможностей трудоустройства и обеспечение востребованности незанятых инвалидов на рынке труда"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</si>
  <si>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</si>
  <si>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</si>
  <si>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МАДОУ "Золушка"</t>
  </si>
  <si>
    <t>ИТОГО Золушка:</t>
  </si>
  <si>
    <t>МАДОУ "Березка"</t>
  </si>
  <si>
    <t>ИТОГО Березка:</t>
  </si>
  <si>
    <t>МАДОУ "Чебурашка"</t>
  </si>
  <si>
    <t>ИТОГО Чебурашка:</t>
  </si>
  <si>
    <t>МАДОУ "Колокольчик"</t>
  </si>
  <si>
    <t>ИТОГО Колокольчик:</t>
  </si>
  <si>
    <t>ВСЕГО МАДОУ: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</si>
  <si>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</si>
  <si>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</si>
  <si>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</si>
  <si>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</si>
  <si>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</si>
  <si>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</si>
  <si>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</si>
  <si>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t>Закрытие плановых ассигнований округом.</t>
  </si>
  <si>
    <t>Начальник управления экономики Администрации города Когалыма</t>
  </si>
  <si>
    <t>Е.Г.Загорская</t>
  </si>
  <si>
    <t>В МАОУ "СОШ №8" трудоустроен 1 гражданин (инвалид) на постоянное рабочее место (в должности администратор).</t>
  </si>
  <si>
    <r>
      <t xml:space="preserve">1. Остаток средств по выплате заработной плате и налогам в сумме 126,46 т.р (местный бюджет). </t>
    </r>
    <r>
      <rPr>
        <sz val="10"/>
        <rFont val="Times New Roman"/>
        <family val="1"/>
        <charset val="204"/>
      </rPr>
      <t xml:space="preserve">Денежные средства были выплачены несовершеннолетним гражданам по факту отработанного времени.    
</t>
    </r>
    <r>
      <rPr>
        <b/>
        <sz val="10"/>
        <rFont val="Times New Roman"/>
        <family val="1"/>
        <charset val="204"/>
      </rPr>
      <t>2. Экономия:</t>
    </r>
    <r>
      <rPr>
        <sz val="10"/>
        <rFont val="Times New Roman"/>
        <family val="1"/>
        <charset val="204"/>
      </rPr>
      <t xml:space="preserve"> 
-местный бюджет: 249,84 т.р., в том числе:
68,93 т.р.- приобретение бейсболок;
91,70 т.р.- приобретение жилетов сигнальных; 
64,87 т.р.- приобретение плащей- дождевиков;
7,80 т.р.- приобретение аптечек;
16,54 т.р.- приобретение трудовых книжек.
Договора на приобретение товара были заключены на меньшую сумму, чем планировалось.
</t>
    </r>
  </si>
  <si>
    <t>По факту обращения несовершеннолетних граждан специалистами МАУ "МКЦ"Феникс" оказано 876 консультаций.</t>
  </si>
  <si>
    <r>
      <t xml:space="preserve">1. Остаток средств по выплате заработной плате и налогам в сумме 1,09 т.р. (местный бюджет).  </t>
    </r>
    <r>
      <rPr>
        <sz val="10"/>
        <rFont val="Times New Roman"/>
        <family val="1"/>
        <charset val="204"/>
      </rPr>
      <t xml:space="preserve">Денежные средства были выплачены  специалистам,  задействованым в работе трудовых бригад несовершеннолетних граждан, по факту отработанного времени. </t>
    </r>
    <r>
      <rPr>
        <b/>
        <sz val="10"/>
        <rFont val="Times New Roman"/>
        <family val="1"/>
        <charset val="204"/>
      </rPr>
      <t xml:space="preserve">
2. Экономия (местный бюджет) в сумме 132,24 т.р., в том числе:
</t>
    </r>
    <r>
      <rPr>
        <sz val="10"/>
        <rFont val="Times New Roman"/>
        <family val="1"/>
        <charset val="204"/>
      </rPr>
      <t xml:space="preserve">3,35 т.р.- приобретение бейсболок;
9,62 т.р.- приобретение жилетов сигнальных; 
6,81 т.р.- приобретение плащей- дождевиков.
Договора на приобретение мягкого инвентаря были заключены на меньшую сумму, чем планировалось.
112,46 т.р.-  экономия образовалась в связи с тем, что у принятых работников была действующая мед.комиссия и гиг.подготовка.      </t>
    </r>
  </si>
  <si>
    <r>
      <t xml:space="preserve">1. Остаток средств по выплате заработной плате и налогам в сумме 11,32т.р. </t>
    </r>
    <r>
      <rPr>
        <sz val="10"/>
        <rFont val="Times New Roman"/>
        <family val="1"/>
        <charset val="204"/>
      </rPr>
      <t xml:space="preserve">Из них: 
- 0,03т.р.- остаток денежных средств из окружного бюджета;
- 11,29 т.р.- остаток средств из местного бюджета. 
Денежные средства были выплачены несовершеннолетним гражданам по факту отработанного времени.   </t>
    </r>
  </si>
  <si>
    <r>
      <t xml:space="preserve">Не исполнение субсидии составляет </t>
    </r>
    <r>
      <rPr>
        <b/>
        <sz val="10"/>
        <rFont val="Times New Roman"/>
        <family val="1"/>
        <charset val="204"/>
      </rPr>
      <t>1 284,04 тыс.рублей</t>
    </r>
    <r>
      <rPr>
        <sz val="10"/>
        <rFont val="Times New Roman"/>
        <family val="1"/>
        <charset val="204"/>
      </rPr>
      <t xml:space="preserve">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- 1 279,21 тыс.руб. (статьи - заработная плата, начисления на оплату труда; статье  расходов "оплата медицинского осмотра" -. оплата производится по факту предоставленной документации, подтверждающей оплату и прохождение медицинского осмотра.;. приобретение спец.одежды); с</t>
    </r>
    <r>
      <rPr>
        <b/>
        <sz val="10"/>
        <rFont val="Times New Roman"/>
        <family val="1"/>
        <charset val="204"/>
      </rPr>
      <t>редства автономного округа</t>
    </r>
    <r>
      <rPr>
        <sz val="10"/>
        <rFont val="Times New Roman"/>
        <family val="1"/>
        <charset val="204"/>
      </rPr>
      <t xml:space="preserve"> - 4,83 тыс. руб. по фактически отработанному времени (статья заработная плата и налоги). </t>
    </r>
  </si>
  <si>
    <t xml:space="preserve">Остаток плановых ассигнований на 01.01.2020г. cоставил:134634,10 руб.
1)по местному бюджету - 128466,69 руб., в т.ч.
82642,48 руб.- оплата труда гражданского персонала;
17972 руб.- медицинские осмотры;
24932,21 руб.- начисления на выплаты по оплате труда;
2920 руб. - приобретение трудовых книжек.                           
Работники приняты не в запланированные даты, а позже. В том числе не работали:
c 10.01.2019г. по 17.02.2019г.;
c 10.01.2019г. по 21.02.2019г.;
c 25.04.2019г. по 28.04.2019г.;
18.06.2019г. (1чел.);
с 24.06.2019г. по 10.07.2019г. (1чел.);
02-03.09.2019г.- 1чел.;
c 21.12-31.12 (2 чел.).
2 920,00 руб. приобретение трудовых книжек (принятые работники в трудовых книжках не нуждались).
2) по бюджету ХМАО-Югры - 6167,41 руб., в т.ч.
4736,87 руб. - оплата труда гражданского персонала;                                              1430,54 руб.- начисления на выплаты по оплате труда. 
Работники приняты не в запланированные даты, а позже. В том числе не работали:
c 10.01.2019г. по 17.02.2019г.;
c 10.01.2019г. по 21.02.2019г.;
c 25.04.2019г. по 28.04.2019г.; 
18.06.2019г. (1чел.);
с 24.06.2019г. по 10.07.2019г. (1чел.);
02-03.09.2019г.- 1чел.;
c 21.12-31.12 (2 чел.).
</t>
  </si>
  <si>
    <r>
      <t xml:space="preserve">Остаток плановых ассигнований в сумме 163,25 тыс.рублей,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- 117,56 тыс.руб.  (по статье заработная плата, налоги и расходы на охрану труда). </t>
    </r>
    <r>
      <rPr>
        <b/>
        <sz val="10"/>
        <rFont val="Times New Roman"/>
        <family val="1"/>
        <charset val="204"/>
      </rPr>
      <t>средства бюджета автономного округа</t>
    </r>
    <r>
      <rPr>
        <sz val="10"/>
        <rFont val="Times New Roman"/>
        <family val="1"/>
        <charset val="204"/>
      </rPr>
      <t xml:space="preserve">.- 45,69 тыс.руб. (по статье заработная плата и налоги.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2019 г  заключено 8 срочных трудовых договора. </t>
    </r>
  </si>
  <si>
    <r>
      <t xml:space="preserve">Остаток плановых ассигнований в сумме 48,40 тыс.рублей, из них: средства бюджета г.Когалыма - 43,72 тыс.руб.  (по статье заработная плата, налоги и расходы на охрану труда).; </t>
    </r>
    <r>
      <rPr>
        <b/>
        <sz val="10"/>
        <rFont val="Times New Roman"/>
        <family val="1"/>
        <charset val="204"/>
      </rPr>
      <t>средства бюджета автономного округа.- 4,68 тыс.руб. (п</t>
    </r>
    <r>
      <rPr>
        <sz val="10"/>
        <rFont val="Times New Roman"/>
        <family val="1"/>
        <charset val="204"/>
      </rPr>
      <t>о статье заработная плата и налоги.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документов.. С мая 2019 г. заключено 5 срочных трудовых договора.</t>
    </r>
  </si>
  <si>
    <r>
      <t>Остаток плановых ассигнований в сумме 34,84 тыс.рублей, из них: средства бюджета г.Когалыма - 28,17 тыс.руб.  (по статье заработная плата, налоги и расходы на охрану труда);</t>
    </r>
    <r>
      <rPr>
        <b/>
        <sz val="10"/>
        <rFont val="Times New Roman"/>
        <family val="1"/>
        <charset val="204"/>
      </rPr>
      <t xml:space="preserve"> средства бюджета автономного округа.- 6,67 тыс.руб. </t>
    </r>
    <r>
      <rPr>
        <sz val="10"/>
        <rFont val="Times New Roman"/>
        <family val="1"/>
        <charset val="204"/>
      </rPr>
      <t>(по статье заработная плата и налоги).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2019 г. заключено срочных трудовых договора с 5 гражданами.</t>
    </r>
  </si>
  <si>
    <r>
      <t xml:space="preserve">Остаток плановых ассигнований в сумме 451,64 тыс.рублей, из них: средства бюджета г.Когалыма - 351,12 тыс.руб.  (по статье заработная плата, налоги и расходы на охрану труда); </t>
    </r>
    <r>
      <rPr>
        <b/>
        <sz val="10"/>
        <rFont val="Times New Roman"/>
        <family val="1"/>
        <charset val="204"/>
      </rPr>
      <t>средства бюджета автономного округа.- 100,52 тыс.руб.</t>
    </r>
    <r>
      <rPr>
        <sz val="10"/>
        <rFont val="Times New Roman"/>
        <family val="1"/>
        <charset val="204"/>
      </rPr>
      <t xml:space="preserve"> (по статье заработная плата и налоги). Заработная плата выплачена за фактически отработанное время трудоустроенных граждан. Оплата за прохождение медицинского осмотра производилась на основании предоставленных документов. С мая 2019 г. с 8 гражданами заключены срочные трудовые договора.</t>
    </r>
  </si>
  <si>
    <t>По состоянию на 01.01.2020 года остаток средств автономного округа составил 151,5 тыс. рублей, в связив связи с тем, что кассовые расходы на связь, т/о и ремонту компьютерной и копировальной техники и комунальные услуги производились по фактически выставлеными поставщиками счетами. Специалистами отдела по труду и занятости: рассмотрено 34 устных  и 3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</si>
  <si>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Заседание Межведомственной комиссии проведено в декабре 2019 года.</t>
  </si>
  <si>
    <t>Отчет о ходе реализации муниципальной программы "Содействие занятости населения города Когалыма" (сетевой график) по состоянию на 01.01.2020 года</t>
  </si>
  <si>
    <t>Дата составления сетевого графика 10.10.2020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</si>
</sst>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7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8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top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Border="1"/>
    <xf numFmtId="0" fontId="19" fillId="7" borderId="1" xfId="0" applyFont="1" applyFill="1" applyBorder="1" applyAlignment="1">
      <alignment horizontal="justify" vertical="center" wrapText="1"/>
    </xf>
    <xf numFmtId="0" fontId="18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7" borderId="1" xfId="0" applyFont="1" applyFill="1" applyBorder="1" applyAlignment="1">
      <alignment horizontal="justify" vertical="top" wrapText="1"/>
    </xf>
    <xf numFmtId="0" fontId="24" fillId="4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9" fontId="24" fillId="0" borderId="1" xfId="2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24" fillId="5" borderId="1" xfId="1" applyFont="1" applyFill="1" applyBorder="1" applyAlignment="1" applyProtection="1">
      <alignment horizontal="righ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24" fillId="9" borderId="1" xfId="0" applyFont="1" applyFill="1" applyBorder="1" applyAlignment="1" applyProtection="1">
      <alignment vertical="top" wrapText="1"/>
    </xf>
    <xf numFmtId="0" fontId="24" fillId="9" borderId="1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9" fontId="24" fillId="10" borderId="1" xfId="2" applyFont="1" applyFill="1" applyBorder="1" applyAlignment="1">
      <alignment horizontal="right" vertical="center" wrapText="1"/>
    </xf>
    <xf numFmtId="10" fontId="33" fillId="10" borderId="1" xfId="2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justify" vertical="center" wrapText="1"/>
    </xf>
    <xf numFmtId="9" fontId="24" fillId="0" borderId="7" xfId="2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3" fontId="35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justify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3" fontId="24" fillId="0" borderId="1" xfId="1" applyNumberFormat="1" applyFont="1" applyFill="1" applyBorder="1" applyAlignment="1" applyProtection="1">
      <alignment horizontal="right" wrapText="1"/>
    </xf>
    <xf numFmtId="0" fontId="5" fillId="11" borderId="1" xfId="0" applyFont="1" applyFill="1" applyBorder="1" applyAlignment="1">
      <alignment horizontal="left" wrapText="1"/>
    </xf>
    <xf numFmtId="43" fontId="24" fillId="10" borderId="1" xfId="0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 applyProtection="1">
      <alignment horizontal="right" wrapText="1"/>
    </xf>
    <xf numFmtId="43" fontId="5" fillId="0" borderId="1" xfId="0" applyNumberFormat="1" applyFont="1" applyFill="1" applyBorder="1" applyAlignment="1">
      <alignment horizontal="right" wrapText="1"/>
    </xf>
    <xf numFmtId="0" fontId="26" fillId="12" borderId="1" xfId="0" applyFont="1" applyFill="1" applyBorder="1" applyAlignment="1">
      <alignment horizontal="justify" vertical="top" wrapText="1"/>
    </xf>
    <xf numFmtId="2" fontId="24" fillId="12" borderId="1" xfId="0" applyNumberFormat="1" applyFont="1" applyFill="1" applyBorder="1" applyAlignment="1" applyProtection="1">
      <alignment horizontal="right" vertical="center" wrapText="1"/>
    </xf>
    <xf numFmtId="2" fontId="16" fillId="12" borderId="4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wrapText="1"/>
    </xf>
    <xf numFmtId="9" fontId="24" fillId="10" borderId="1" xfId="0" applyNumberFormat="1" applyFont="1" applyFill="1" applyBorder="1" applyAlignment="1">
      <alignment horizontal="right" wrapText="1"/>
    </xf>
    <xf numFmtId="10" fontId="5" fillId="10" borderId="1" xfId="1" applyNumberFormat="1" applyFont="1" applyFill="1" applyBorder="1" applyAlignment="1">
      <alignment horizontal="right" wrapText="1"/>
    </xf>
    <xf numFmtId="0" fontId="25" fillId="1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justify" wrapText="1"/>
    </xf>
    <xf numFmtId="9" fontId="24" fillId="9" borderId="1" xfId="2" applyFont="1" applyFill="1" applyBorder="1" applyAlignment="1" applyProtection="1">
      <alignment vertical="center" wrapText="1"/>
    </xf>
    <xf numFmtId="9" fontId="24" fillId="7" borderId="1" xfId="2" applyFont="1" applyFill="1" applyBorder="1" applyAlignment="1">
      <alignment horizontal="right" vertical="center" wrapText="1"/>
    </xf>
    <xf numFmtId="9" fontId="5" fillId="11" borderId="1" xfId="2" applyNumberFormat="1" applyFont="1" applyFill="1" applyBorder="1" applyAlignment="1" applyProtection="1">
      <alignment horizontal="right" wrapText="1"/>
    </xf>
    <xf numFmtId="9" fontId="5" fillId="11" borderId="1" xfId="2" applyFont="1" applyFill="1" applyBorder="1" applyAlignment="1" applyProtection="1">
      <alignment horizontal="right" wrapText="1"/>
    </xf>
    <xf numFmtId="9" fontId="5" fillId="6" borderId="1" xfId="1" applyNumberFormat="1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right" vertical="center" wrapText="1"/>
    </xf>
    <xf numFmtId="9" fontId="24" fillId="9" borderId="1" xfId="2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24" fillId="4" borderId="1" xfId="1" applyNumberFormat="1" applyFont="1" applyFill="1" applyBorder="1" applyAlignment="1">
      <alignment horizontal="right" vertical="center" wrapText="1"/>
    </xf>
    <xf numFmtId="9" fontId="24" fillId="3" borderId="1" xfId="2" applyFont="1" applyFill="1" applyBorder="1" applyAlignment="1" applyProtection="1">
      <alignment horizontal="right" vertical="center" wrapText="1"/>
    </xf>
    <xf numFmtId="43" fontId="24" fillId="13" borderId="1" xfId="1" applyFont="1" applyFill="1" applyBorder="1" applyAlignment="1">
      <alignment horizontal="right" vertical="center" wrapText="1"/>
    </xf>
    <xf numFmtId="9" fontId="24" fillId="13" borderId="1" xfId="2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justify" vertical="center" wrapText="1"/>
    </xf>
    <xf numFmtId="43" fontId="24" fillId="9" borderId="1" xfId="0" applyNumberFormat="1" applyFont="1" applyFill="1" applyBorder="1" applyAlignment="1" applyProtection="1">
      <alignment vertical="center" wrapText="1"/>
    </xf>
    <xf numFmtId="43" fontId="24" fillId="7" borderId="1" xfId="0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 applyProtection="1">
      <alignment horizontal="right" vertical="center" wrapText="1"/>
    </xf>
    <xf numFmtId="43" fontId="5" fillId="5" borderId="1" xfId="1" applyNumberFormat="1" applyFont="1" applyFill="1" applyBorder="1" applyAlignment="1">
      <alignment horizontal="right" vertical="center" wrapText="1"/>
    </xf>
    <xf numFmtId="43" fontId="5" fillId="5" borderId="1" xfId="1" applyNumberFormat="1" applyFont="1" applyFill="1" applyBorder="1" applyAlignment="1" applyProtection="1">
      <alignment horizontal="right" vertical="center" wrapText="1"/>
    </xf>
    <xf numFmtId="43" fontId="5" fillId="12" borderId="1" xfId="0" applyNumberFormat="1" applyFont="1" applyFill="1" applyBorder="1" applyAlignment="1">
      <alignment horizontal="right" vertical="center" wrapText="1"/>
    </xf>
    <xf numFmtId="43" fontId="5" fillId="12" borderId="1" xfId="0" applyNumberFormat="1" applyFont="1" applyFill="1" applyBorder="1" applyAlignment="1" applyProtection="1">
      <alignment horizontal="right" vertical="center" wrapText="1"/>
    </xf>
    <xf numFmtId="43" fontId="24" fillId="12" borderId="1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10" borderId="1" xfId="0" applyNumberFormat="1" applyFont="1" applyFill="1" applyBorder="1" applyAlignment="1">
      <alignment horizontal="right" vertical="center" wrapText="1"/>
    </xf>
    <xf numFmtId="43" fontId="33" fillId="10" borderId="1" xfId="0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 applyProtection="1">
      <alignment horizontal="right" wrapText="1"/>
    </xf>
    <xf numFmtId="43" fontId="24" fillId="13" borderId="1" xfId="1" applyNumberFormat="1" applyFont="1" applyFill="1" applyBorder="1" applyAlignment="1">
      <alignment horizontal="right" vertical="center" wrapText="1"/>
    </xf>
    <xf numFmtId="43" fontId="5" fillId="0" borderId="7" xfId="1" applyNumberFormat="1" applyFont="1" applyFill="1" applyBorder="1" applyAlignment="1">
      <alignment horizontal="right" vertical="center" wrapText="1"/>
    </xf>
    <xf numFmtId="43" fontId="24" fillId="0" borderId="7" xfId="1" applyNumberFormat="1" applyFont="1" applyFill="1" applyBorder="1" applyAlignment="1" applyProtection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wrapText="1"/>
    </xf>
    <xf numFmtId="43" fontId="24" fillId="9" borderId="1" xfId="1" applyNumberFormat="1" applyFont="1" applyFill="1" applyBorder="1" applyAlignment="1" applyProtection="1">
      <alignment horizontal="right" vertical="center" wrapText="1"/>
    </xf>
    <xf numFmtId="43" fontId="24" fillId="7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24" fillId="3" borderId="1" xfId="1" applyNumberFormat="1" applyFont="1" applyFill="1" applyBorder="1" applyAlignment="1" applyProtection="1">
      <alignment horizontal="right" vertical="center" wrapText="1"/>
    </xf>
    <xf numFmtId="43" fontId="16" fillId="7" borderId="4" xfId="0" applyNumberFormat="1" applyFont="1" applyFill="1" applyBorder="1" applyAlignment="1" applyProtection="1">
      <alignment horizontal="right" vertical="center" wrapText="1"/>
    </xf>
    <xf numFmtId="43" fontId="24" fillId="12" borderId="7" xfId="0" applyNumberFormat="1" applyFont="1" applyFill="1" applyBorder="1" applyAlignment="1" applyProtection="1">
      <alignment horizontal="right" vertical="center" wrapText="1"/>
    </xf>
    <xf numFmtId="43" fontId="16" fillId="12" borderId="4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 applyProtection="1">
      <alignment horizontal="right" vertical="center" wrapText="1"/>
    </xf>
    <xf numFmtId="43" fontId="28" fillId="6" borderId="1" xfId="1" applyNumberFormat="1" applyFont="1" applyFill="1" applyBorder="1" applyAlignment="1" applyProtection="1">
      <alignment horizontal="right" vertical="center" wrapText="1"/>
    </xf>
    <xf numFmtId="43" fontId="28" fillId="5" borderId="1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>
      <alignment horizontal="right" vertical="center" wrapText="1"/>
    </xf>
    <xf numFmtId="43" fontId="24" fillId="5" borderId="1" xfId="1" applyNumberFormat="1" applyFont="1" applyFill="1" applyBorder="1" applyAlignment="1" applyProtection="1">
      <alignment horizontal="right" vertical="center" wrapText="1"/>
    </xf>
    <xf numFmtId="43" fontId="24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43" fontId="24" fillId="11" borderId="1" xfId="1" applyNumberFormat="1" applyFont="1" applyFill="1" applyBorder="1" applyAlignment="1" applyProtection="1">
      <alignment horizontal="right" wrapText="1"/>
    </xf>
    <xf numFmtId="43" fontId="5" fillId="11" borderId="1" xfId="1" applyNumberFormat="1" applyFont="1" applyFill="1" applyBorder="1" applyAlignment="1" applyProtection="1">
      <alignment horizontal="center" vertical="center" wrapText="1"/>
    </xf>
    <xf numFmtId="43" fontId="24" fillId="11" borderId="4" xfId="1" applyNumberFormat="1" applyFont="1" applyFill="1" applyBorder="1" applyAlignment="1" applyProtection="1">
      <alignment horizontal="right" vertical="center" wrapText="1"/>
    </xf>
    <xf numFmtId="43" fontId="24" fillId="10" borderId="4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 applyProtection="1">
      <alignment horizontal="right" vertical="center" wrapText="1"/>
    </xf>
    <xf numFmtId="43" fontId="16" fillId="0" borderId="7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3" borderId="4" xfId="1" applyNumberFormat="1" applyFont="1" applyFill="1" applyBorder="1" applyAlignment="1" applyProtection="1">
      <alignment horizontal="right" vertical="center" wrapText="1"/>
    </xf>
    <xf numFmtId="43" fontId="10" fillId="7" borderId="4" xfId="1" applyNumberFormat="1" applyFont="1" applyFill="1" applyBorder="1" applyAlignment="1" applyProtection="1">
      <alignment horizontal="right" vertical="center" wrapText="1"/>
    </xf>
    <xf numFmtId="43" fontId="16" fillId="7" borderId="4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 applyProtection="1">
      <alignment horizontal="right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0" fontId="24" fillId="7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vertical="top" wrapText="1"/>
    </xf>
    <xf numFmtId="43" fontId="24" fillId="0" borderId="1" xfId="0" applyNumberFormat="1" applyFont="1" applyFill="1" applyBorder="1" applyAlignment="1" applyProtection="1">
      <alignment vertical="center" wrapText="1"/>
    </xf>
    <xf numFmtId="9" fontId="24" fillId="0" borderId="1" xfId="2" applyFont="1" applyFill="1" applyBorder="1" applyAlignment="1" applyProtection="1">
      <alignment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wrapText="1"/>
    </xf>
    <xf numFmtId="43" fontId="5" fillId="7" borderId="1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 applyProtection="1">
      <alignment horizontal="right" vertical="center" wrapText="1"/>
    </xf>
    <xf numFmtId="9" fontId="5" fillId="7" borderId="1" xfId="2" applyFont="1" applyFill="1" applyBorder="1" applyAlignment="1" applyProtection="1">
      <alignment horizontal="right" vertical="center" wrapText="1"/>
    </xf>
    <xf numFmtId="43" fontId="5" fillId="7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31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justify" vertical="center" wrapText="1"/>
    </xf>
    <xf numFmtId="9" fontId="5" fillId="0" borderId="1" xfId="2" applyNumberFormat="1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justify" wrapText="1"/>
    </xf>
    <xf numFmtId="0" fontId="24" fillId="13" borderId="1" xfId="0" applyFont="1" applyFill="1" applyBorder="1" applyAlignment="1">
      <alignment horizontal="justify" wrapText="1"/>
    </xf>
    <xf numFmtId="0" fontId="36" fillId="0" borderId="1" xfId="0" applyFont="1" applyFill="1" applyBorder="1" applyAlignment="1">
      <alignment horizontal="justify" wrapText="1"/>
    </xf>
    <xf numFmtId="2" fontId="3" fillId="0" borderId="4" xfId="0" applyNumberFormat="1" applyFont="1" applyFill="1" applyBorder="1" applyAlignment="1" applyProtection="1">
      <alignment horizontal="justify" vertical="top" wrapText="1"/>
    </xf>
    <xf numFmtId="43" fontId="4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99FFCC"/>
      <color rgb="FF99FF99"/>
      <color rgb="FFB6DFE4"/>
      <color rgb="FFA0EFFA"/>
      <color rgb="FFE5BAB5"/>
      <color rgb="FF8FCE4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230" t="s">
        <v>60</v>
      </c>
      <c r="C6" s="230"/>
      <c r="D6" s="230"/>
      <c r="E6" s="230"/>
      <c r="F6" s="230"/>
      <c r="G6" s="230"/>
      <c r="H6" s="230"/>
      <c r="I6" s="230"/>
      <c r="J6" s="230"/>
    </row>
    <row r="7" spans="2:13" s="4" customFormat="1" x14ac:dyDescent="0.2"/>
    <row r="8" spans="2:13" s="4" customFormat="1" x14ac:dyDescent="0.2">
      <c r="B8" s="231" t="s">
        <v>29</v>
      </c>
      <c r="C8" s="231" t="s">
        <v>0</v>
      </c>
      <c r="D8" s="231" t="s">
        <v>72</v>
      </c>
      <c r="E8" s="231" t="s">
        <v>1</v>
      </c>
      <c r="F8" s="231" t="s">
        <v>30</v>
      </c>
      <c r="G8" s="231"/>
      <c r="H8" s="231"/>
      <c r="I8" s="231"/>
      <c r="J8" s="231" t="s">
        <v>2</v>
      </c>
    </row>
    <row r="9" spans="2:13" s="4" customFormat="1" x14ac:dyDescent="0.2">
      <c r="B9" s="231"/>
      <c r="C9" s="231"/>
      <c r="D9" s="231"/>
      <c r="E9" s="231"/>
      <c r="F9" s="231" t="s">
        <v>3</v>
      </c>
      <c r="G9" s="231" t="s">
        <v>4</v>
      </c>
      <c r="H9" s="231"/>
      <c r="I9" s="231"/>
      <c r="J9" s="231"/>
    </row>
    <row r="10" spans="2:13" s="4" customFormat="1" x14ac:dyDescent="0.2">
      <c r="B10" s="231"/>
      <c r="C10" s="231"/>
      <c r="D10" s="231"/>
      <c r="E10" s="231"/>
      <c r="F10" s="231"/>
      <c r="G10" s="14" t="s">
        <v>5</v>
      </c>
      <c r="H10" s="14" t="s">
        <v>6</v>
      </c>
      <c r="I10" s="14" t="s">
        <v>7</v>
      </c>
      <c r="J10" s="231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238" t="s">
        <v>63</v>
      </c>
      <c r="C12" s="238"/>
      <c r="D12" s="238"/>
      <c r="E12" s="238"/>
      <c r="F12" s="238"/>
      <c r="G12" s="238"/>
      <c r="H12" s="238"/>
      <c r="I12" s="238"/>
      <c r="J12" s="238"/>
    </row>
    <row r="13" spans="2:13" s="4" customFormat="1" x14ac:dyDescent="0.2">
      <c r="B13" s="238" t="s">
        <v>58</v>
      </c>
      <c r="C13" s="238"/>
      <c r="D13" s="238"/>
      <c r="E13" s="238"/>
      <c r="F13" s="238"/>
      <c r="G13" s="238"/>
      <c r="H13" s="238"/>
      <c r="I13" s="238"/>
      <c r="J13" s="238"/>
    </row>
    <row r="14" spans="2:13" s="4" customFormat="1" x14ac:dyDescent="0.2">
      <c r="B14" s="239" t="s">
        <v>8</v>
      </c>
      <c r="C14" s="240"/>
      <c r="D14" s="240"/>
      <c r="E14" s="240"/>
      <c r="F14" s="240"/>
      <c r="G14" s="240"/>
      <c r="H14" s="240"/>
      <c r="I14" s="240"/>
      <c r="J14" s="241"/>
    </row>
    <row r="15" spans="2:13" s="4" customFormat="1" x14ac:dyDescent="0.2">
      <c r="B15" s="242" t="s">
        <v>31</v>
      </c>
      <c r="C15" s="235" t="s">
        <v>9</v>
      </c>
      <c r="D15" s="232" t="s">
        <v>43</v>
      </c>
      <c r="E15" s="232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243"/>
      <c r="C16" s="236"/>
      <c r="D16" s="233"/>
      <c r="E16" s="233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244"/>
      <c r="C17" s="237"/>
      <c r="D17" s="234"/>
      <c r="E17" s="234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242" t="s">
        <v>33</v>
      </c>
      <c r="C19" s="235" t="s">
        <v>12</v>
      </c>
      <c r="D19" s="232" t="s">
        <v>43</v>
      </c>
      <c r="E19" s="232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243"/>
      <c r="C20" s="236"/>
      <c r="D20" s="233"/>
      <c r="E20" s="233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244"/>
      <c r="C21" s="237"/>
      <c r="D21" s="234"/>
      <c r="E21" s="234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1" t="s">
        <v>16</v>
      </c>
      <c r="G25" s="231"/>
      <c r="H25" s="231"/>
      <c r="I25" s="231"/>
      <c r="J25" s="231"/>
      <c r="M25" s="8"/>
    </row>
    <row r="26" spans="2:13" s="4" customFormat="1" x14ac:dyDescent="0.2">
      <c r="B26" s="232"/>
      <c r="C26" s="235" t="s">
        <v>17</v>
      </c>
      <c r="D26" s="232" t="s">
        <v>43</v>
      </c>
      <c r="E26" s="232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233"/>
      <c r="C27" s="236"/>
      <c r="D27" s="233"/>
      <c r="E27" s="233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234"/>
      <c r="C28" s="237"/>
      <c r="D28" s="234"/>
      <c r="E28" s="234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238" t="s">
        <v>18</v>
      </c>
      <c r="C29" s="238"/>
      <c r="D29" s="238"/>
      <c r="E29" s="238"/>
      <c r="F29" s="238"/>
      <c r="G29" s="238"/>
      <c r="H29" s="238"/>
      <c r="I29" s="238"/>
      <c r="J29" s="238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245"/>
      <c r="C32" s="235" t="s">
        <v>21</v>
      </c>
      <c r="D32" s="248"/>
      <c r="E32" s="232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246"/>
      <c r="C33" s="236"/>
      <c r="D33" s="249"/>
      <c r="E33" s="233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247"/>
      <c r="C34" s="237"/>
      <c r="D34" s="250"/>
      <c r="E34" s="234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239" t="s">
        <v>59</v>
      </c>
      <c r="C35" s="240"/>
      <c r="D35" s="240"/>
      <c r="E35" s="240"/>
      <c r="F35" s="240"/>
      <c r="G35" s="240"/>
      <c r="H35" s="240"/>
      <c r="I35" s="240"/>
      <c r="J35" s="241"/>
      <c r="M35" s="8"/>
    </row>
    <row r="36" spans="2:13" x14ac:dyDescent="0.2">
      <c r="B36" s="239" t="s">
        <v>56</v>
      </c>
      <c r="C36" s="240"/>
      <c r="D36" s="240"/>
      <c r="E36" s="240"/>
      <c r="F36" s="240"/>
      <c r="G36" s="240"/>
      <c r="H36" s="240"/>
      <c r="I36" s="240"/>
      <c r="J36" s="241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239" t="s">
        <v>64</v>
      </c>
      <c r="C40" s="240"/>
      <c r="D40" s="240"/>
      <c r="E40" s="240"/>
      <c r="F40" s="240"/>
      <c r="G40" s="240"/>
      <c r="H40" s="240"/>
      <c r="I40" s="240"/>
      <c r="J40" s="241"/>
      <c r="M40" s="8"/>
    </row>
    <row r="41" spans="2:13" x14ac:dyDescent="0.2">
      <c r="B41" s="239" t="s">
        <v>44</v>
      </c>
      <c r="C41" s="240"/>
      <c r="D41" s="240"/>
      <c r="E41" s="240"/>
      <c r="F41" s="240"/>
      <c r="G41" s="240"/>
      <c r="H41" s="240"/>
      <c r="I41" s="240"/>
      <c r="J41" s="241"/>
      <c r="M41" s="8"/>
    </row>
    <row r="42" spans="2:13" x14ac:dyDescent="0.2">
      <c r="B42" s="238" t="s">
        <v>45</v>
      </c>
      <c r="C42" s="238"/>
      <c r="D42" s="238"/>
      <c r="E42" s="238"/>
      <c r="F42" s="238"/>
      <c r="G42" s="238"/>
      <c r="H42" s="238"/>
      <c r="I42" s="238"/>
      <c r="J42" s="238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1" t="s">
        <v>16</v>
      </c>
      <c r="G43" s="231"/>
      <c r="H43" s="231"/>
      <c r="I43" s="231"/>
      <c r="J43" s="231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231"/>
      <c r="C47" s="235" t="s">
        <v>48</v>
      </c>
      <c r="D47" s="231" t="s">
        <v>22</v>
      </c>
      <c r="E47" s="231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231"/>
      <c r="C48" s="236"/>
      <c r="D48" s="231"/>
      <c r="E48" s="231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231"/>
      <c r="C49" s="237"/>
      <c r="D49" s="231"/>
      <c r="E49" s="231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238" t="s">
        <v>49</v>
      </c>
      <c r="C50" s="238"/>
      <c r="D50" s="238"/>
      <c r="E50" s="238"/>
      <c r="F50" s="238"/>
      <c r="G50" s="238"/>
      <c r="H50" s="238"/>
      <c r="I50" s="238"/>
      <c r="J50" s="238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1" t="s">
        <v>16</v>
      </c>
      <c r="G51" s="231"/>
      <c r="H51" s="231"/>
      <c r="I51" s="231"/>
      <c r="J51" s="231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1" t="s">
        <v>16</v>
      </c>
      <c r="G52" s="231"/>
      <c r="H52" s="231"/>
      <c r="I52" s="231"/>
      <c r="J52" s="231"/>
      <c r="M52" s="8"/>
    </row>
    <row r="53" spans="2:22" ht="15.75" customHeight="1" x14ac:dyDescent="0.2">
      <c r="B53" s="251"/>
      <c r="C53" s="238" t="s">
        <v>52</v>
      </c>
      <c r="D53" s="231" t="s">
        <v>22</v>
      </c>
      <c r="E53" s="231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251"/>
      <c r="C54" s="238"/>
      <c r="D54" s="231"/>
      <c r="E54" s="231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251"/>
      <c r="C55" s="238"/>
      <c r="D55" s="231"/>
      <c r="E55" s="231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252"/>
      <c r="C56" s="238" t="s">
        <v>55</v>
      </c>
      <c r="D56" s="251"/>
      <c r="E56" s="231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252"/>
      <c r="C57" s="238"/>
      <c r="D57" s="251"/>
      <c r="E57" s="231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252"/>
      <c r="C58" s="238"/>
      <c r="D58" s="251"/>
      <c r="E58" s="23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251"/>
      <c r="C60" s="238" t="s">
        <v>28</v>
      </c>
      <c r="D60" s="251"/>
      <c r="E60" s="231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251"/>
      <c r="C61" s="238"/>
      <c r="D61" s="251"/>
      <c r="E61" s="231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251"/>
      <c r="C62" s="238"/>
      <c r="D62" s="251"/>
      <c r="E62" s="231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248"/>
      <c r="C63" s="235" t="s">
        <v>61</v>
      </c>
      <c r="D63" s="248"/>
      <c r="E63" s="232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249"/>
      <c r="C64" s="236"/>
      <c r="D64" s="249"/>
      <c r="E64" s="233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250"/>
      <c r="C65" s="237"/>
      <c r="D65" s="250"/>
      <c r="E65" s="234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230" t="s">
        <v>60</v>
      </c>
      <c r="C6" s="230"/>
      <c r="D6" s="230"/>
      <c r="E6" s="230"/>
      <c r="F6" s="230"/>
      <c r="G6" s="230"/>
      <c r="H6" s="230"/>
      <c r="I6" s="230"/>
      <c r="J6" s="230"/>
    </row>
    <row r="7" spans="2:18" s="4" customFormat="1" x14ac:dyDescent="0.2"/>
    <row r="8" spans="2:18" s="4" customFormat="1" x14ac:dyDescent="0.2">
      <c r="B8" s="231" t="s">
        <v>29</v>
      </c>
      <c r="C8" s="231" t="s">
        <v>0</v>
      </c>
      <c r="D8" s="231" t="s">
        <v>72</v>
      </c>
      <c r="E8" s="231" t="s">
        <v>1</v>
      </c>
      <c r="F8" s="231" t="s">
        <v>30</v>
      </c>
      <c r="G8" s="231"/>
      <c r="H8" s="231"/>
      <c r="I8" s="231"/>
      <c r="J8" s="231" t="s">
        <v>2</v>
      </c>
    </row>
    <row r="9" spans="2:18" s="4" customFormat="1" x14ac:dyDescent="0.2">
      <c r="B9" s="231"/>
      <c r="C9" s="231"/>
      <c r="D9" s="231"/>
      <c r="E9" s="231"/>
      <c r="F9" s="231" t="s">
        <v>3</v>
      </c>
      <c r="G9" s="231" t="s">
        <v>4</v>
      </c>
      <c r="H9" s="231"/>
      <c r="I9" s="231"/>
      <c r="J9" s="231"/>
    </row>
    <row r="10" spans="2:18" s="4" customFormat="1" ht="15.75" customHeight="1" x14ac:dyDescent="0.2">
      <c r="B10" s="231"/>
      <c r="C10" s="231"/>
      <c r="D10" s="231"/>
      <c r="E10" s="231"/>
      <c r="F10" s="231"/>
      <c r="G10" s="14" t="s">
        <v>5</v>
      </c>
      <c r="H10" s="14" t="s">
        <v>6</v>
      </c>
      <c r="I10" s="14" t="s">
        <v>7</v>
      </c>
      <c r="J10" s="231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238" t="s">
        <v>63</v>
      </c>
      <c r="C12" s="238"/>
      <c r="D12" s="238"/>
      <c r="E12" s="238"/>
      <c r="F12" s="238"/>
      <c r="G12" s="238"/>
      <c r="H12" s="238"/>
      <c r="I12" s="238"/>
      <c r="J12" s="238"/>
    </row>
    <row r="13" spans="2:18" s="4" customFormat="1" ht="24.75" customHeight="1" x14ac:dyDescent="0.2">
      <c r="B13" s="238" t="s">
        <v>58</v>
      </c>
      <c r="C13" s="238"/>
      <c r="D13" s="238"/>
      <c r="E13" s="238"/>
      <c r="F13" s="238"/>
      <c r="G13" s="238"/>
      <c r="H13" s="238"/>
      <c r="I13" s="238"/>
      <c r="J13" s="238"/>
    </row>
    <row r="14" spans="2:18" s="4" customFormat="1" ht="25.5" customHeight="1" x14ac:dyDescent="0.2">
      <c r="B14" s="239" t="s">
        <v>8</v>
      </c>
      <c r="C14" s="240"/>
      <c r="D14" s="240"/>
      <c r="E14" s="240"/>
      <c r="F14" s="240"/>
      <c r="G14" s="240"/>
      <c r="H14" s="240"/>
      <c r="I14" s="240"/>
      <c r="J14" s="241"/>
    </row>
    <row r="15" spans="2:18" s="4" customFormat="1" ht="12.75" customHeight="1" x14ac:dyDescent="0.2">
      <c r="B15" s="242" t="s">
        <v>31</v>
      </c>
      <c r="C15" s="235" t="s">
        <v>9</v>
      </c>
      <c r="D15" s="232" t="s">
        <v>43</v>
      </c>
      <c r="E15" s="232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242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243"/>
      <c r="C16" s="236"/>
      <c r="D16" s="233"/>
      <c r="E16" s="233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243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244"/>
      <c r="C17" s="237"/>
      <c r="D17" s="234"/>
      <c r="E17" s="234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244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242" t="s">
        <v>33</v>
      </c>
      <c r="C19" s="235" t="s">
        <v>12</v>
      </c>
      <c r="D19" s="232" t="s">
        <v>43</v>
      </c>
      <c r="E19" s="232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242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243"/>
      <c r="C20" s="236"/>
      <c r="D20" s="233"/>
      <c r="E20" s="233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243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244"/>
      <c r="C21" s="237"/>
      <c r="D21" s="234"/>
      <c r="E21" s="234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244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1" t="s">
        <v>16</v>
      </c>
      <c r="G25" s="231"/>
      <c r="H25" s="231"/>
      <c r="I25" s="231"/>
      <c r="J25" s="231"/>
      <c r="L25" s="7" t="s">
        <v>37</v>
      </c>
      <c r="M25" s="231" t="s">
        <v>16</v>
      </c>
      <c r="N25" s="231"/>
      <c r="O25" s="231"/>
      <c r="P25" s="231"/>
      <c r="Q25" s="8"/>
      <c r="R25" s="8"/>
    </row>
    <row r="26" spans="2:18" s="4" customFormat="1" ht="18.75" customHeight="1" x14ac:dyDescent="0.2">
      <c r="B26" s="232"/>
      <c r="C26" s="235" t="s">
        <v>17</v>
      </c>
      <c r="D26" s="232" t="s">
        <v>43</v>
      </c>
      <c r="E26" s="232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32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233"/>
      <c r="C27" s="236"/>
      <c r="D27" s="233"/>
      <c r="E27" s="233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33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234"/>
      <c r="C28" s="237"/>
      <c r="D28" s="234"/>
      <c r="E28" s="234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34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238" t="s">
        <v>18</v>
      </c>
      <c r="C29" s="238"/>
      <c r="D29" s="238"/>
      <c r="E29" s="238"/>
      <c r="F29" s="238"/>
      <c r="G29" s="238"/>
      <c r="H29" s="238"/>
      <c r="I29" s="238"/>
      <c r="J29" s="238"/>
      <c r="L29" s="238" t="s">
        <v>18</v>
      </c>
      <c r="M29" s="238"/>
      <c r="N29" s="238"/>
      <c r="O29" s="238"/>
      <c r="P29" s="238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245"/>
      <c r="C32" s="235" t="s">
        <v>21</v>
      </c>
      <c r="D32" s="248"/>
      <c r="E32" s="232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245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246"/>
      <c r="C33" s="236"/>
      <c r="D33" s="249"/>
      <c r="E33" s="233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46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247"/>
      <c r="C34" s="237"/>
      <c r="D34" s="250"/>
      <c r="E34" s="234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247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239" t="s">
        <v>59</v>
      </c>
      <c r="C35" s="240"/>
      <c r="D35" s="240"/>
      <c r="E35" s="240"/>
      <c r="F35" s="240"/>
      <c r="G35" s="240"/>
      <c r="H35" s="240"/>
      <c r="I35" s="240"/>
      <c r="J35" s="241"/>
      <c r="L35" s="239" t="s">
        <v>59</v>
      </c>
      <c r="M35" s="240"/>
      <c r="N35" s="240"/>
      <c r="O35" s="240"/>
      <c r="P35" s="240"/>
      <c r="Q35" s="8"/>
      <c r="R35" s="8"/>
    </row>
    <row r="36" spans="2:18" ht="27" customHeight="1" x14ac:dyDescent="0.2">
      <c r="B36" s="239" t="s">
        <v>56</v>
      </c>
      <c r="C36" s="240"/>
      <c r="D36" s="240"/>
      <c r="E36" s="240"/>
      <c r="F36" s="240"/>
      <c r="G36" s="240"/>
      <c r="H36" s="240"/>
      <c r="I36" s="240"/>
      <c r="J36" s="241"/>
      <c r="L36" s="239" t="s">
        <v>56</v>
      </c>
      <c r="M36" s="240"/>
      <c r="N36" s="240"/>
      <c r="O36" s="240"/>
      <c r="P36" s="240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239" t="s">
        <v>64</v>
      </c>
      <c r="C40" s="240"/>
      <c r="D40" s="240"/>
      <c r="E40" s="240"/>
      <c r="F40" s="240"/>
      <c r="G40" s="240"/>
      <c r="H40" s="240"/>
      <c r="I40" s="240"/>
      <c r="J40" s="241"/>
      <c r="L40" s="239" t="s">
        <v>64</v>
      </c>
      <c r="M40" s="240"/>
      <c r="N40" s="240"/>
      <c r="O40" s="240"/>
      <c r="P40" s="240"/>
      <c r="Q40" s="8"/>
      <c r="R40" s="8"/>
    </row>
    <row r="41" spans="2:18" ht="26.25" customHeight="1" x14ac:dyDescent="0.2">
      <c r="B41" s="239" t="s">
        <v>44</v>
      </c>
      <c r="C41" s="240"/>
      <c r="D41" s="240"/>
      <c r="E41" s="240"/>
      <c r="F41" s="240"/>
      <c r="G41" s="240"/>
      <c r="H41" s="240"/>
      <c r="I41" s="240"/>
      <c r="J41" s="241"/>
      <c r="L41" s="239" t="s">
        <v>44</v>
      </c>
      <c r="M41" s="240"/>
      <c r="N41" s="240"/>
      <c r="O41" s="240"/>
      <c r="P41" s="240"/>
      <c r="Q41" s="8"/>
      <c r="R41" s="8"/>
    </row>
    <row r="42" spans="2:18" ht="27.75" customHeight="1" x14ac:dyDescent="0.2">
      <c r="B42" s="238" t="s">
        <v>45</v>
      </c>
      <c r="C42" s="238"/>
      <c r="D42" s="238"/>
      <c r="E42" s="238"/>
      <c r="F42" s="238"/>
      <c r="G42" s="238"/>
      <c r="H42" s="238"/>
      <c r="I42" s="238"/>
      <c r="J42" s="238"/>
      <c r="L42" s="238" t="s">
        <v>45</v>
      </c>
      <c r="M42" s="238"/>
      <c r="N42" s="238"/>
      <c r="O42" s="238"/>
      <c r="P42" s="238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1" t="s">
        <v>16</v>
      </c>
      <c r="G43" s="231"/>
      <c r="H43" s="231"/>
      <c r="I43" s="231"/>
      <c r="J43" s="231"/>
      <c r="L43" s="7" t="s">
        <v>40</v>
      </c>
      <c r="M43" s="231" t="s">
        <v>16</v>
      </c>
      <c r="N43" s="231"/>
      <c r="O43" s="231"/>
      <c r="P43" s="231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231"/>
      <c r="C47" s="235" t="s">
        <v>48</v>
      </c>
      <c r="D47" s="231" t="s">
        <v>22</v>
      </c>
      <c r="E47" s="231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231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231"/>
      <c r="C48" s="236"/>
      <c r="D48" s="231"/>
      <c r="E48" s="231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231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231"/>
      <c r="C49" s="237"/>
      <c r="D49" s="231"/>
      <c r="E49" s="231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231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238" t="s">
        <v>49</v>
      </c>
      <c r="C50" s="238"/>
      <c r="D50" s="238"/>
      <c r="E50" s="238"/>
      <c r="F50" s="238"/>
      <c r="G50" s="238"/>
      <c r="H50" s="238"/>
      <c r="I50" s="238"/>
      <c r="J50" s="238"/>
      <c r="L50" s="238" t="s">
        <v>49</v>
      </c>
      <c r="M50" s="238"/>
      <c r="N50" s="238"/>
      <c r="O50" s="238"/>
      <c r="P50" s="238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1" t="s">
        <v>16</v>
      </c>
      <c r="G51" s="231"/>
      <c r="H51" s="231"/>
      <c r="I51" s="231"/>
      <c r="J51" s="231"/>
      <c r="L51" s="7" t="s">
        <v>50</v>
      </c>
      <c r="M51" s="231" t="s">
        <v>16</v>
      </c>
      <c r="N51" s="231"/>
      <c r="O51" s="231"/>
      <c r="P51" s="231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1" t="s">
        <v>16</v>
      </c>
      <c r="G52" s="231"/>
      <c r="H52" s="231"/>
      <c r="I52" s="231"/>
      <c r="J52" s="231"/>
      <c r="L52" s="7" t="s">
        <v>51</v>
      </c>
      <c r="M52" s="231" t="s">
        <v>16</v>
      </c>
      <c r="N52" s="231"/>
      <c r="O52" s="231"/>
      <c r="P52" s="231"/>
      <c r="Q52" s="8"/>
      <c r="R52" s="8"/>
    </row>
    <row r="53" spans="2:18" ht="15.75" customHeight="1" x14ac:dyDescent="0.2">
      <c r="B53" s="251"/>
      <c r="C53" s="238" t="s">
        <v>52</v>
      </c>
      <c r="D53" s="231" t="s">
        <v>22</v>
      </c>
      <c r="E53" s="231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51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251"/>
      <c r="C54" s="238"/>
      <c r="D54" s="231"/>
      <c r="E54" s="231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51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251"/>
      <c r="C55" s="238"/>
      <c r="D55" s="231"/>
      <c r="E55" s="231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51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252"/>
      <c r="C56" s="238" t="s">
        <v>55</v>
      </c>
      <c r="D56" s="251"/>
      <c r="E56" s="231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52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252"/>
      <c r="C57" s="238"/>
      <c r="D57" s="251"/>
      <c r="E57" s="231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52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252"/>
      <c r="C58" s="238"/>
      <c r="D58" s="251"/>
      <c r="E58" s="23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52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251"/>
      <c r="C60" s="238" t="s">
        <v>28</v>
      </c>
      <c r="D60" s="251"/>
      <c r="E60" s="231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51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251"/>
      <c r="C61" s="238"/>
      <c r="D61" s="251"/>
      <c r="E61" s="231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51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251"/>
      <c r="C62" s="238"/>
      <c r="D62" s="251"/>
      <c r="E62" s="231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51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248"/>
      <c r="C63" s="235" t="s">
        <v>61</v>
      </c>
      <c r="D63" s="248"/>
      <c r="E63" s="232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248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249"/>
      <c r="C64" s="236"/>
      <c r="D64" s="249"/>
      <c r="E64" s="233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249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250"/>
      <c r="C65" s="237"/>
      <c r="D65" s="250"/>
      <c r="E65" s="234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50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8"/>
  <sheetViews>
    <sheetView tabSelected="1" view="pageBreakPreview" zoomScale="70" zoomScaleNormal="85" zoomScaleSheetLayoutView="70" workbookViewId="0">
      <pane xSplit="11" ySplit="13" topLeftCell="Z260" activePane="bottomRight" state="frozen"/>
      <selection pane="topRight" activeCell="L1" sqref="L1"/>
      <selection pane="bottomLeft" activeCell="A12" sqref="A12"/>
      <selection pane="bottomRight" activeCell="M7" sqref="M7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1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48.85546875" style="18" customWidth="1"/>
    <col min="33" max="33" width="14.28515625" style="20" customWidth="1"/>
    <col min="34" max="34" width="21.570312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215"/>
      <c r="O1" s="22"/>
      <c r="P1" s="22"/>
      <c r="Q1" s="22"/>
      <c r="R1" s="22"/>
      <c r="S1" s="22"/>
      <c r="V1" s="60"/>
      <c r="W1" s="60"/>
      <c r="X1" s="60"/>
      <c r="Y1" s="60"/>
      <c r="Z1" s="94"/>
      <c r="AA1" s="94"/>
      <c r="AB1" s="94"/>
      <c r="AC1" s="94"/>
      <c r="AD1" s="94"/>
      <c r="AF1" s="23"/>
    </row>
    <row r="2" spans="1:34" ht="26.25" customHeight="1" x14ac:dyDescent="0.25">
      <c r="A2" s="253" t="s">
        <v>174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</row>
    <row r="3" spans="1:34" s="25" customFormat="1" ht="31.5" customHeight="1" x14ac:dyDescent="0.35">
      <c r="A3" s="254" t="s">
        <v>136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4"/>
      <c r="V3" s="24"/>
      <c r="W3" s="24"/>
      <c r="X3" s="24"/>
      <c r="Y3" s="24"/>
      <c r="Z3" s="24"/>
      <c r="AA3" s="24"/>
      <c r="AB3" s="255"/>
      <c r="AC3" s="255"/>
      <c r="AD3" s="255"/>
      <c r="AE3" s="24"/>
      <c r="AF3" s="26" t="s">
        <v>80</v>
      </c>
      <c r="AH3" s="21"/>
    </row>
    <row r="4" spans="1:34" s="27" customFormat="1" ht="18.75" customHeight="1" x14ac:dyDescent="0.25">
      <c r="A4" s="256" t="s">
        <v>151</v>
      </c>
      <c r="B4" s="258" t="s">
        <v>113</v>
      </c>
      <c r="C4" s="260" t="s">
        <v>81</v>
      </c>
      <c r="D4" s="260" t="s">
        <v>82</v>
      </c>
      <c r="E4" s="260" t="s">
        <v>83</v>
      </c>
      <c r="F4" s="260" t="s">
        <v>84</v>
      </c>
      <c r="G4" s="260"/>
      <c r="H4" s="262" t="s">
        <v>85</v>
      </c>
      <c r="I4" s="263"/>
      <c r="J4" s="262" t="s">
        <v>86</v>
      </c>
      <c r="K4" s="263"/>
      <c r="L4" s="262" t="s">
        <v>87</v>
      </c>
      <c r="M4" s="263"/>
      <c r="N4" s="262" t="s">
        <v>88</v>
      </c>
      <c r="O4" s="263"/>
      <c r="P4" s="262" t="s">
        <v>89</v>
      </c>
      <c r="Q4" s="263"/>
      <c r="R4" s="262" t="s">
        <v>90</v>
      </c>
      <c r="S4" s="263"/>
      <c r="T4" s="262" t="s">
        <v>91</v>
      </c>
      <c r="U4" s="263"/>
      <c r="V4" s="262" t="s">
        <v>92</v>
      </c>
      <c r="W4" s="263"/>
      <c r="X4" s="262" t="s">
        <v>93</v>
      </c>
      <c r="Y4" s="263"/>
      <c r="Z4" s="262" t="s">
        <v>94</v>
      </c>
      <c r="AA4" s="263"/>
      <c r="AB4" s="262" t="s">
        <v>95</v>
      </c>
      <c r="AC4" s="263"/>
      <c r="AD4" s="262" t="s">
        <v>96</v>
      </c>
      <c r="AE4" s="263"/>
      <c r="AF4" s="264" t="s">
        <v>97</v>
      </c>
      <c r="AH4" s="28"/>
    </row>
    <row r="5" spans="1:34" s="30" customFormat="1" ht="72" customHeight="1" x14ac:dyDescent="0.25">
      <c r="A5" s="257"/>
      <c r="B5" s="259"/>
      <c r="C5" s="260"/>
      <c r="D5" s="261"/>
      <c r="E5" s="260"/>
      <c r="F5" s="212" t="s">
        <v>98</v>
      </c>
      <c r="G5" s="212" t="s">
        <v>99</v>
      </c>
      <c r="H5" s="29" t="s">
        <v>120</v>
      </c>
      <c r="I5" s="29" t="s">
        <v>100</v>
      </c>
      <c r="J5" s="29" t="s">
        <v>120</v>
      </c>
      <c r="K5" s="29" t="s">
        <v>100</v>
      </c>
      <c r="L5" s="29" t="s">
        <v>120</v>
      </c>
      <c r="M5" s="29" t="s">
        <v>100</v>
      </c>
      <c r="N5" s="29" t="s">
        <v>120</v>
      </c>
      <c r="O5" s="29" t="s">
        <v>100</v>
      </c>
      <c r="P5" s="29" t="s">
        <v>120</v>
      </c>
      <c r="Q5" s="29" t="s">
        <v>100</v>
      </c>
      <c r="R5" s="29" t="s">
        <v>120</v>
      </c>
      <c r="S5" s="29" t="s">
        <v>100</v>
      </c>
      <c r="T5" s="29" t="s">
        <v>120</v>
      </c>
      <c r="U5" s="29" t="s">
        <v>100</v>
      </c>
      <c r="V5" s="29" t="s">
        <v>120</v>
      </c>
      <c r="W5" s="29" t="s">
        <v>100</v>
      </c>
      <c r="X5" s="29" t="s">
        <v>120</v>
      </c>
      <c r="Y5" s="29" t="s">
        <v>100</v>
      </c>
      <c r="Z5" s="29" t="s">
        <v>120</v>
      </c>
      <c r="AA5" s="29" t="s">
        <v>100</v>
      </c>
      <c r="AB5" s="29" t="s">
        <v>120</v>
      </c>
      <c r="AC5" s="29" t="s">
        <v>100</v>
      </c>
      <c r="AD5" s="29" t="s">
        <v>120</v>
      </c>
      <c r="AE5" s="29" t="s">
        <v>100</v>
      </c>
      <c r="AF5" s="264"/>
      <c r="AH5" s="28"/>
    </row>
    <row r="6" spans="1:34" s="32" customFormat="1" ht="17.25" customHeight="1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8">
        <v>31</v>
      </c>
      <c r="AF6" s="31">
        <v>32</v>
      </c>
      <c r="AH6" s="33"/>
    </row>
    <row r="7" spans="1:34" s="37" customFormat="1" ht="40.5" customHeight="1" x14ac:dyDescent="0.2">
      <c r="A7" s="92" t="s">
        <v>101</v>
      </c>
      <c r="B7" s="141">
        <f>B9+B134</f>
        <v>21244.849830000003</v>
      </c>
      <c r="C7" s="141">
        <f>C9+C134</f>
        <v>21244.849829999999</v>
      </c>
      <c r="D7" s="141">
        <f>D9+D134</f>
        <v>19128.018840000001</v>
      </c>
      <c r="E7" s="141">
        <f>E9+E134</f>
        <v>18607.100600000002</v>
      </c>
      <c r="F7" s="127">
        <f>E7/B7</f>
        <v>0.87584053306532594</v>
      </c>
      <c r="G7" s="127">
        <f>E7/C7</f>
        <v>0.87584053306532605</v>
      </c>
      <c r="H7" s="141">
        <f t="shared" ref="H7:AE7" si="0">H9+H134</f>
        <v>33.1</v>
      </c>
      <c r="I7" s="141">
        <f t="shared" si="0"/>
        <v>0</v>
      </c>
      <c r="J7" s="141">
        <f t="shared" si="0"/>
        <v>465.21198999999996</v>
      </c>
      <c r="K7" s="141">
        <f t="shared" si="0"/>
        <v>358.92627999999996</v>
      </c>
      <c r="L7" s="141">
        <f t="shared" si="0"/>
        <v>1010.54799</v>
      </c>
      <c r="M7" s="141">
        <f t="shared" si="0"/>
        <v>345.78565000000003</v>
      </c>
      <c r="N7" s="141">
        <f t="shared" si="0"/>
        <v>455.10202000000004</v>
      </c>
      <c r="O7" s="141">
        <f t="shared" si="0"/>
        <v>709.60320000000002</v>
      </c>
      <c r="P7" s="141">
        <f t="shared" si="0"/>
        <v>700.42084999999997</v>
      </c>
      <c r="Q7" s="141">
        <f t="shared" si="0"/>
        <v>430.36131999999998</v>
      </c>
      <c r="R7" s="141">
        <f t="shared" si="0"/>
        <v>5102.4375400000008</v>
      </c>
      <c r="S7" s="141">
        <f t="shared" si="0"/>
        <v>4607.7413099999994</v>
      </c>
      <c r="T7" s="141">
        <f t="shared" si="0"/>
        <v>5143.508600000001</v>
      </c>
      <c r="U7" s="141">
        <f t="shared" si="0"/>
        <v>4397.0908500000005</v>
      </c>
      <c r="V7" s="141">
        <f t="shared" si="0"/>
        <v>4993.8346899999997</v>
      </c>
      <c r="W7" s="141">
        <f t="shared" si="0"/>
        <v>4343.26656</v>
      </c>
      <c r="X7" s="141">
        <f t="shared" si="0"/>
        <v>1094.54638</v>
      </c>
      <c r="Y7" s="141">
        <f t="shared" si="0"/>
        <v>1425.4573300000002</v>
      </c>
      <c r="Z7" s="141">
        <f t="shared" si="0"/>
        <v>920.28752999999995</v>
      </c>
      <c r="AA7" s="141">
        <f t="shared" si="0"/>
        <v>703.09788000000003</v>
      </c>
      <c r="AB7" s="141">
        <f t="shared" si="0"/>
        <v>649.57366999999999</v>
      </c>
      <c r="AC7" s="141">
        <f t="shared" si="0"/>
        <v>790.96359000000007</v>
      </c>
      <c r="AD7" s="141">
        <f t="shared" si="0"/>
        <v>676.27856999999995</v>
      </c>
      <c r="AE7" s="141">
        <f t="shared" si="0"/>
        <v>0</v>
      </c>
      <c r="AF7" s="36"/>
      <c r="AH7" s="38"/>
    </row>
    <row r="8" spans="1:34" s="37" customFormat="1" ht="54.75" customHeight="1" x14ac:dyDescent="0.2">
      <c r="A8" s="195" t="s">
        <v>137</v>
      </c>
      <c r="B8" s="196"/>
      <c r="C8" s="196"/>
      <c r="D8" s="196"/>
      <c r="E8" s="196"/>
      <c r="F8" s="197"/>
      <c r="G8" s="197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8"/>
      <c r="AF8" s="199"/>
      <c r="AH8" s="38"/>
    </row>
    <row r="9" spans="1:34" s="64" customFormat="1" ht="75.75" customHeight="1" x14ac:dyDescent="0.25">
      <c r="A9" s="68" t="s">
        <v>116</v>
      </c>
      <c r="B9" s="142">
        <f>B10</f>
        <v>21244.849830000003</v>
      </c>
      <c r="C9" s="142">
        <f t="shared" ref="C9:AD9" si="1">C10</f>
        <v>21244.849829999999</v>
      </c>
      <c r="D9" s="142">
        <f t="shared" si="1"/>
        <v>19128.018840000001</v>
      </c>
      <c r="E9" s="142">
        <f t="shared" si="1"/>
        <v>18607.100600000002</v>
      </c>
      <c r="F9" s="128">
        <f t="shared" ref="F9:F15" si="2">E9/B9</f>
        <v>0.87584053306532594</v>
      </c>
      <c r="G9" s="128">
        <f t="shared" ref="G9:G15" si="3">E9/C9</f>
        <v>0.87584053306532605</v>
      </c>
      <c r="H9" s="142">
        <f>H10</f>
        <v>33.1</v>
      </c>
      <c r="I9" s="142">
        <f t="shared" si="1"/>
        <v>0</v>
      </c>
      <c r="J9" s="142">
        <f>J10</f>
        <v>465.21198999999996</v>
      </c>
      <c r="K9" s="142">
        <f t="shared" si="1"/>
        <v>358.92627999999996</v>
      </c>
      <c r="L9" s="142">
        <f t="shared" si="1"/>
        <v>1010.54799</v>
      </c>
      <c r="M9" s="142">
        <f t="shared" si="1"/>
        <v>345.78565000000003</v>
      </c>
      <c r="N9" s="142">
        <f t="shared" si="1"/>
        <v>455.10202000000004</v>
      </c>
      <c r="O9" s="142">
        <f t="shared" si="1"/>
        <v>709.60320000000002</v>
      </c>
      <c r="P9" s="142">
        <f>P10</f>
        <v>700.42084999999997</v>
      </c>
      <c r="Q9" s="142">
        <f t="shared" si="1"/>
        <v>430.36131999999998</v>
      </c>
      <c r="R9" s="142">
        <f t="shared" si="1"/>
        <v>5102.4375400000008</v>
      </c>
      <c r="S9" s="142">
        <f t="shared" si="1"/>
        <v>4607.7413099999994</v>
      </c>
      <c r="T9" s="142">
        <f>T10</f>
        <v>5143.508600000001</v>
      </c>
      <c r="U9" s="142">
        <f t="shared" si="1"/>
        <v>4397.0908500000005</v>
      </c>
      <c r="V9" s="142">
        <f t="shared" si="1"/>
        <v>4993.8346899999997</v>
      </c>
      <c r="W9" s="142">
        <f t="shared" si="1"/>
        <v>4343.26656</v>
      </c>
      <c r="X9" s="142">
        <f>X10</f>
        <v>1094.54638</v>
      </c>
      <c r="Y9" s="142">
        <f t="shared" si="1"/>
        <v>1425.4573300000002</v>
      </c>
      <c r="Z9" s="142">
        <f t="shared" si="1"/>
        <v>920.28752999999995</v>
      </c>
      <c r="AA9" s="142">
        <f t="shared" si="1"/>
        <v>703.09788000000003</v>
      </c>
      <c r="AB9" s="142">
        <f t="shared" si="1"/>
        <v>649.57366999999999</v>
      </c>
      <c r="AC9" s="142">
        <f t="shared" si="1"/>
        <v>790.96359000000007</v>
      </c>
      <c r="AD9" s="142">
        <f t="shared" si="1"/>
        <v>676.27856999999995</v>
      </c>
      <c r="AE9" s="169"/>
      <c r="AF9" s="63"/>
      <c r="AH9" s="65"/>
    </row>
    <row r="10" spans="1:34" s="37" customFormat="1" x14ac:dyDescent="0.25">
      <c r="A10" s="89" t="s">
        <v>25</v>
      </c>
      <c r="B10" s="143">
        <f>B12+B13</f>
        <v>21244.849830000003</v>
      </c>
      <c r="C10" s="143">
        <f>C12+C13</f>
        <v>21244.849829999999</v>
      </c>
      <c r="D10" s="143">
        <f>D12+D13</f>
        <v>19128.018840000001</v>
      </c>
      <c r="E10" s="143">
        <f>E12+E13</f>
        <v>18607.100600000002</v>
      </c>
      <c r="F10" s="90">
        <f t="shared" si="2"/>
        <v>0.87584053306532594</v>
      </c>
      <c r="G10" s="90">
        <f t="shared" si="3"/>
        <v>0.87584053306532605</v>
      </c>
      <c r="H10" s="143">
        <f t="shared" ref="H10:AE10" si="4">H12+H13</f>
        <v>33.1</v>
      </c>
      <c r="I10" s="143">
        <f t="shared" si="4"/>
        <v>0</v>
      </c>
      <c r="J10" s="143">
        <f t="shared" si="4"/>
        <v>465.21198999999996</v>
      </c>
      <c r="K10" s="143">
        <f t="shared" si="4"/>
        <v>358.92627999999996</v>
      </c>
      <c r="L10" s="143">
        <f t="shared" si="4"/>
        <v>1010.54799</v>
      </c>
      <c r="M10" s="143">
        <f t="shared" si="4"/>
        <v>345.78565000000003</v>
      </c>
      <c r="N10" s="143">
        <f t="shared" si="4"/>
        <v>455.10202000000004</v>
      </c>
      <c r="O10" s="143">
        <f t="shared" si="4"/>
        <v>709.60320000000002</v>
      </c>
      <c r="P10" s="143">
        <f t="shared" si="4"/>
        <v>700.42084999999997</v>
      </c>
      <c r="Q10" s="143">
        <f t="shared" si="4"/>
        <v>430.36131999999998</v>
      </c>
      <c r="R10" s="143">
        <f t="shared" si="4"/>
        <v>5102.4375400000008</v>
      </c>
      <c r="S10" s="143">
        <f t="shared" si="4"/>
        <v>4607.7413099999994</v>
      </c>
      <c r="T10" s="143">
        <f t="shared" si="4"/>
        <v>5143.508600000001</v>
      </c>
      <c r="U10" s="143">
        <f t="shared" si="4"/>
        <v>4397.0908500000005</v>
      </c>
      <c r="V10" s="143">
        <f t="shared" si="4"/>
        <v>4993.8346899999997</v>
      </c>
      <c r="W10" s="143">
        <f t="shared" si="4"/>
        <v>4343.26656</v>
      </c>
      <c r="X10" s="143">
        <f t="shared" si="4"/>
        <v>1094.54638</v>
      </c>
      <c r="Y10" s="143">
        <f t="shared" si="4"/>
        <v>1425.4573300000002</v>
      </c>
      <c r="Z10" s="143">
        <f t="shared" si="4"/>
        <v>920.28752999999995</v>
      </c>
      <c r="AA10" s="143">
        <f t="shared" si="4"/>
        <v>703.09788000000003</v>
      </c>
      <c r="AB10" s="143">
        <f t="shared" si="4"/>
        <v>649.57366999999999</v>
      </c>
      <c r="AC10" s="143">
        <f t="shared" si="4"/>
        <v>790.96359000000007</v>
      </c>
      <c r="AD10" s="143">
        <f t="shared" si="4"/>
        <v>676.27856999999995</v>
      </c>
      <c r="AE10" s="143">
        <f t="shared" si="4"/>
        <v>494.80663000000004</v>
      </c>
      <c r="AF10" s="91"/>
      <c r="AH10" s="38"/>
    </row>
    <row r="11" spans="1:34" s="37" customFormat="1" x14ac:dyDescent="0.25">
      <c r="A11" s="103" t="s">
        <v>152</v>
      </c>
      <c r="B11" s="161">
        <v>0</v>
      </c>
      <c r="C11" s="161">
        <v>0</v>
      </c>
      <c r="D11" s="161">
        <v>0</v>
      </c>
      <c r="E11" s="161">
        <v>0</v>
      </c>
      <c r="F11" s="81" t="e">
        <f t="shared" si="2"/>
        <v>#DIV/0!</v>
      </c>
      <c r="G11" s="81" t="e">
        <f t="shared" si="3"/>
        <v>#DIV/0!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216"/>
      <c r="AH11" s="38"/>
    </row>
    <row r="12" spans="1:34" s="37" customFormat="1" x14ac:dyDescent="0.25">
      <c r="A12" s="72" t="s">
        <v>102</v>
      </c>
      <c r="B12" s="144">
        <f>H12+J12+L12+N12+P12+R12+T12+V12+X12+Z12+AB12+AD12</f>
        <v>3012.9450000000006</v>
      </c>
      <c r="C12" s="145">
        <f>C58+C126+C130</f>
        <v>3012.9450000000002</v>
      </c>
      <c r="D12" s="145">
        <f>D58+D126+D130</f>
        <v>2844.3699100000003</v>
      </c>
      <c r="E12" s="145">
        <f>E58+E126+E130</f>
        <v>2844.3709599999997</v>
      </c>
      <c r="F12" s="75">
        <f t="shared" si="2"/>
        <v>0.94405007724999934</v>
      </c>
      <c r="G12" s="75">
        <f>E12/C12</f>
        <v>0.94405007724999945</v>
      </c>
      <c r="H12" s="145">
        <f t="shared" ref="H12:AE12" si="5">H58+H126+H130</f>
        <v>0</v>
      </c>
      <c r="I12" s="145">
        <f t="shared" si="5"/>
        <v>0</v>
      </c>
      <c r="J12" s="145">
        <f t="shared" si="5"/>
        <v>16.859990000000003</v>
      </c>
      <c r="K12" s="145">
        <f t="shared" si="5"/>
        <v>0</v>
      </c>
      <c r="L12" s="145">
        <f t="shared" si="5"/>
        <v>62.334990000000005</v>
      </c>
      <c r="M12" s="145">
        <f t="shared" si="5"/>
        <v>0</v>
      </c>
      <c r="N12" s="145">
        <f t="shared" si="5"/>
        <v>65.010019999999997</v>
      </c>
      <c r="O12" s="145">
        <f t="shared" si="5"/>
        <v>129.35124999999999</v>
      </c>
      <c r="P12" s="145">
        <f t="shared" si="5"/>
        <v>142.12443000000002</v>
      </c>
      <c r="Q12" s="145">
        <f t="shared" si="5"/>
        <v>65.214770000000001</v>
      </c>
      <c r="R12" s="145">
        <f t="shared" si="5"/>
        <v>646.88499000000002</v>
      </c>
      <c r="S12" s="145">
        <f t="shared" si="5"/>
        <v>602.39699999999993</v>
      </c>
      <c r="T12" s="145">
        <f t="shared" si="5"/>
        <v>313.93500000000006</v>
      </c>
      <c r="U12" s="145">
        <f t="shared" si="5"/>
        <v>129.43532999999999</v>
      </c>
      <c r="V12" s="145">
        <f t="shared" si="5"/>
        <v>1259.6685400000001</v>
      </c>
      <c r="W12" s="145">
        <f t="shared" si="5"/>
        <v>673.29280000000006</v>
      </c>
      <c r="X12" s="145">
        <f t="shared" si="5"/>
        <v>113.18499</v>
      </c>
      <c r="Y12" s="145">
        <f t="shared" si="5"/>
        <v>680.43518000000006</v>
      </c>
      <c r="Z12" s="145">
        <f t="shared" si="5"/>
        <v>113.18499</v>
      </c>
      <c r="AA12" s="145">
        <f t="shared" si="5"/>
        <v>185.86633</v>
      </c>
      <c r="AB12" s="145">
        <f t="shared" si="5"/>
        <v>153.07976000000002</v>
      </c>
      <c r="AC12" s="145">
        <f t="shared" si="5"/>
        <v>175.38441</v>
      </c>
      <c r="AD12" s="145">
        <f t="shared" si="5"/>
        <v>126.6773</v>
      </c>
      <c r="AE12" s="145">
        <f t="shared" si="5"/>
        <v>202.99389000000002</v>
      </c>
      <c r="AF12" s="74"/>
      <c r="AH12" s="38"/>
    </row>
    <row r="13" spans="1:34" s="37" customFormat="1" x14ac:dyDescent="0.25">
      <c r="A13" s="76" t="s">
        <v>103</v>
      </c>
      <c r="B13" s="146">
        <f>H13+J13+L13+N13+P13+R13+T13+V13+X13+Z13+AB13+AD13</f>
        <v>18231.904830000003</v>
      </c>
      <c r="C13" s="147">
        <f>C59+C127</f>
        <v>18231.904829999999</v>
      </c>
      <c r="D13" s="147">
        <f>D59+D127</f>
        <v>16283.648929999999</v>
      </c>
      <c r="E13" s="147">
        <f>E59+E127</f>
        <v>15762.729640000001</v>
      </c>
      <c r="F13" s="79">
        <f t="shared" si="2"/>
        <v>0.86456844674084443</v>
      </c>
      <c r="G13" s="79">
        <f t="shared" si="3"/>
        <v>0.86456844674084454</v>
      </c>
      <c r="H13" s="147">
        <f t="shared" ref="H13:AE13" si="6">H59+H127</f>
        <v>33.1</v>
      </c>
      <c r="I13" s="147">
        <f t="shared" si="6"/>
        <v>0</v>
      </c>
      <c r="J13" s="147">
        <f t="shared" si="6"/>
        <v>448.35199999999998</v>
      </c>
      <c r="K13" s="147">
        <f t="shared" si="6"/>
        <v>358.92627999999996</v>
      </c>
      <c r="L13" s="147">
        <f t="shared" si="6"/>
        <v>948.21299999999997</v>
      </c>
      <c r="M13" s="147">
        <f t="shared" si="6"/>
        <v>345.78565000000003</v>
      </c>
      <c r="N13" s="147">
        <f t="shared" si="6"/>
        <v>390.09200000000004</v>
      </c>
      <c r="O13" s="147">
        <f t="shared" si="6"/>
        <v>580.25194999999997</v>
      </c>
      <c r="P13" s="147">
        <f t="shared" si="6"/>
        <v>558.2964199999999</v>
      </c>
      <c r="Q13" s="147">
        <f t="shared" si="6"/>
        <v>365.14654999999999</v>
      </c>
      <c r="R13" s="147">
        <f t="shared" si="6"/>
        <v>4455.5525500000003</v>
      </c>
      <c r="S13" s="147">
        <f t="shared" si="6"/>
        <v>4005.34431</v>
      </c>
      <c r="T13" s="147">
        <f t="shared" si="6"/>
        <v>4829.5736000000006</v>
      </c>
      <c r="U13" s="147">
        <f t="shared" si="6"/>
        <v>4267.6555200000003</v>
      </c>
      <c r="V13" s="147">
        <f t="shared" si="6"/>
        <v>3734.16615</v>
      </c>
      <c r="W13" s="147">
        <f t="shared" si="6"/>
        <v>3669.9737600000003</v>
      </c>
      <c r="X13" s="147">
        <f t="shared" si="6"/>
        <v>981.36138999999991</v>
      </c>
      <c r="Y13" s="147">
        <f t="shared" si="6"/>
        <v>745.02215000000001</v>
      </c>
      <c r="Z13" s="147">
        <f t="shared" si="6"/>
        <v>807.10253999999998</v>
      </c>
      <c r="AA13" s="147">
        <f t="shared" si="6"/>
        <v>517.23154999999997</v>
      </c>
      <c r="AB13" s="147">
        <f t="shared" si="6"/>
        <v>496.49390999999997</v>
      </c>
      <c r="AC13" s="147">
        <f t="shared" si="6"/>
        <v>615.57918000000006</v>
      </c>
      <c r="AD13" s="147">
        <f t="shared" si="6"/>
        <v>549.60127</v>
      </c>
      <c r="AE13" s="147">
        <f t="shared" si="6"/>
        <v>291.81274000000002</v>
      </c>
      <c r="AF13" s="78"/>
      <c r="AH13" s="38"/>
    </row>
    <row r="14" spans="1:34" s="37" customFormat="1" ht="33" x14ac:dyDescent="0.25">
      <c r="A14" s="218" t="s">
        <v>153</v>
      </c>
      <c r="B14" s="161">
        <v>0</v>
      </c>
      <c r="C14" s="162">
        <v>0</v>
      </c>
      <c r="D14" s="162">
        <v>0</v>
      </c>
      <c r="E14" s="162">
        <v>0</v>
      </c>
      <c r="F14" s="81" t="e">
        <f t="shared" si="2"/>
        <v>#DIV/0!</v>
      </c>
      <c r="G14" s="81" t="e">
        <f t="shared" si="3"/>
        <v>#DIV/0!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217"/>
      <c r="AH14" s="38"/>
    </row>
    <row r="15" spans="1:34" s="37" customFormat="1" x14ac:dyDescent="0.25">
      <c r="A15" s="103" t="s">
        <v>154</v>
      </c>
      <c r="B15" s="161">
        <v>0</v>
      </c>
      <c r="C15" s="162">
        <v>0</v>
      </c>
      <c r="D15" s="162">
        <v>0</v>
      </c>
      <c r="E15" s="162">
        <v>0</v>
      </c>
      <c r="F15" s="81" t="e">
        <f t="shared" si="2"/>
        <v>#DIV/0!</v>
      </c>
      <c r="G15" s="81" t="e">
        <f t="shared" si="3"/>
        <v>#DIV/0!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217"/>
      <c r="AH15" s="38"/>
    </row>
    <row r="16" spans="1:34" s="37" customFormat="1" ht="98.25" customHeight="1" x14ac:dyDescent="0.25">
      <c r="A16" s="119" t="s">
        <v>107</v>
      </c>
      <c r="B16" s="148"/>
      <c r="C16" s="149"/>
      <c r="D16" s="149"/>
      <c r="E16" s="150"/>
      <c r="F16" s="120"/>
      <c r="G16" s="12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70"/>
      <c r="AE16" s="171"/>
      <c r="AF16" s="271"/>
      <c r="AH16" s="38"/>
    </row>
    <row r="17" spans="1:34" s="37" customFormat="1" x14ac:dyDescent="0.25">
      <c r="A17" s="69" t="s">
        <v>25</v>
      </c>
      <c r="B17" s="151">
        <f>B19+B20</f>
        <v>11186.63954</v>
      </c>
      <c r="C17" s="151">
        <f>C19+C20</f>
        <v>11186.639539999998</v>
      </c>
      <c r="D17" s="151">
        <f>D19+D20</f>
        <v>11186.639539999998</v>
      </c>
      <c r="E17" s="151">
        <f>E19+E20</f>
        <v>10810.340730000002</v>
      </c>
      <c r="F17" s="70">
        <f t="shared" ref="F17:F22" si="7">E17/B17</f>
        <v>0.96636176497379134</v>
      </c>
      <c r="G17" s="70">
        <f t="shared" ref="G17:G22" si="8">E17/C17</f>
        <v>0.96636176497379156</v>
      </c>
      <c r="H17" s="172">
        <f t="shared" ref="H17:AE17" si="9">H19+H20</f>
        <v>0</v>
      </c>
      <c r="I17" s="172">
        <f t="shared" si="9"/>
        <v>0</v>
      </c>
      <c r="J17" s="172">
        <f t="shared" si="9"/>
        <v>61.125</v>
      </c>
      <c r="K17" s="172">
        <f t="shared" si="9"/>
        <v>61.12462</v>
      </c>
      <c r="L17" s="172">
        <f t="shared" si="9"/>
        <v>531.48699999999997</v>
      </c>
      <c r="M17" s="172">
        <f t="shared" si="9"/>
        <v>22.553049999999999</v>
      </c>
      <c r="N17" s="172">
        <f t="shared" si="9"/>
        <v>0</v>
      </c>
      <c r="O17" s="172">
        <f t="shared" si="9"/>
        <v>259.09699999999998</v>
      </c>
      <c r="P17" s="172">
        <f t="shared" si="9"/>
        <v>0</v>
      </c>
      <c r="Q17" s="172">
        <f t="shared" si="9"/>
        <v>0</v>
      </c>
      <c r="R17" s="172">
        <f t="shared" si="9"/>
        <v>3675.3740000000003</v>
      </c>
      <c r="S17" s="172">
        <f t="shared" si="9"/>
        <v>3608.6428300000002</v>
      </c>
      <c r="T17" s="172">
        <f t="shared" si="9"/>
        <v>3470.4390000000003</v>
      </c>
      <c r="U17" s="172">
        <f t="shared" si="9"/>
        <v>3399.36076</v>
      </c>
      <c r="V17" s="172">
        <f t="shared" si="9"/>
        <v>3448.2145399999999</v>
      </c>
      <c r="W17" s="172">
        <f t="shared" si="9"/>
        <v>3051.6319000000003</v>
      </c>
      <c r="X17" s="172">
        <f t="shared" si="9"/>
        <v>0</v>
      </c>
      <c r="Y17" s="172">
        <f t="shared" si="9"/>
        <v>407.93057000000005</v>
      </c>
      <c r="Z17" s="172">
        <f t="shared" si="9"/>
        <v>0</v>
      </c>
      <c r="AA17" s="172">
        <f t="shared" si="9"/>
        <v>0</v>
      </c>
      <c r="AB17" s="172">
        <f t="shared" si="9"/>
        <v>0</v>
      </c>
      <c r="AC17" s="172">
        <f t="shared" si="9"/>
        <v>0</v>
      </c>
      <c r="AD17" s="172">
        <f t="shared" si="9"/>
        <v>0</v>
      </c>
      <c r="AE17" s="172">
        <f t="shared" si="9"/>
        <v>0</v>
      </c>
      <c r="AF17" s="272"/>
      <c r="AH17" s="38"/>
    </row>
    <row r="18" spans="1:34" s="37" customFormat="1" x14ac:dyDescent="0.25">
      <c r="A18" s="103" t="s">
        <v>152</v>
      </c>
      <c r="B18" s="161">
        <v>0</v>
      </c>
      <c r="C18" s="161">
        <v>0</v>
      </c>
      <c r="D18" s="161">
        <v>0</v>
      </c>
      <c r="E18" s="161">
        <v>0</v>
      </c>
      <c r="F18" s="81" t="e">
        <f t="shared" si="7"/>
        <v>#DIV/0!</v>
      </c>
      <c r="G18" s="81" t="e">
        <f t="shared" si="8"/>
        <v>#DIV/0!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272"/>
      <c r="AH18" s="38"/>
    </row>
    <row r="19" spans="1:34" s="37" customFormat="1" ht="25.5" customHeight="1" x14ac:dyDescent="0.25">
      <c r="A19" s="72" t="s">
        <v>102</v>
      </c>
      <c r="B19" s="144">
        <f>H19+J19+L19+N19+P19+R19+T19+V19+X19+Z19+AB19+AD19</f>
        <v>1609.5645400000001</v>
      </c>
      <c r="C19" s="145">
        <f>C25</f>
        <v>1609.5645400000001</v>
      </c>
      <c r="D19" s="145">
        <f>D25</f>
        <v>1609.5645400000001</v>
      </c>
      <c r="E19" s="145">
        <f>I19+K19+M19+O19+Q19+S19+U19+W19+Y19+AA19+AC19+AE19</f>
        <v>1609.5645399999999</v>
      </c>
      <c r="F19" s="75">
        <f t="shared" si="7"/>
        <v>0.99999999999999989</v>
      </c>
      <c r="G19" s="75">
        <f t="shared" si="8"/>
        <v>0.99999999999999989</v>
      </c>
      <c r="H19" s="145">
        <f>H25</f>
        <v>0</v>
      </c>
      <c r="I19" s="145">
        <f t="shared" ref="I19:AA19" si="10">I25</f>
        <v>0</v>
      </c>
      <c r="J19" s="145">
        <f t="shared" si="10"/>
        <v>0</v>
      </c>
      <c r="K19" s="145">
        <f t="shared" si="10"/>
        <v>0</v>
      </c>
      <c r="L19" s="145">
        <f t="shared" si="10"/>
        <v>0</v>
      </c>
      <c r="M19" s="145">
        <f t="shared" si="10"/>
        <v>0</v>
      </c>
      <c r="N19" s="145">
        <f>N25</f>
        <v>0</v>
      </c>
      <c r="O19" s="145">
        <f>O25</f>
        <v>0</v>
      </c>
      <c r="P19" s="145">
        <f t="shared" si="10"/>
        <v>0</v>
      </c>
      <c r="Q19" s="145">
        <f t="shared" si="10"/>
        <v>0</v>
      </c>
      <c r="R19" s="145">
        <f t="shared" si="10"/>
        <v>489.52499999999998</v>
      </c>
      <c r="S19" s="145">
        <f t="shared" si="10"/>
        <v>489.52499999999998</v>
      </c>
      <c r="T19" s="145">
        <f t="shared" si="10"/>
        <v>72.275000000000006</v>
      </c>
      <c r="U19" s="145">
        <f t="shared" si="10"/>
        <v>59.835329999999999</v>
      </c>
      <c r="V19" s="145">
        <f t="shared" si="10"/>
        <v>1047.7645400000001</v>
      </c>
      <c r="W19" s="145">
        <f t="shared" si="10"/>
        <v>525.81216000000006</v>
      </c>
      <c r="X19" s="145">
        <f t="shared" si="10"/>
        <v>0</v>
      </c>
      <c r="Y19" s="145">
        <f t="shared" si="10"/>
        <v>534.39205000000004</v>
      </c>
      <c r="Z19" s="145">
        <f t="shared" si="10"/>
        <v>0</v>
      </c>
      <c r="AA19" s="145">
        <f t="shared" si="10"/>
        <v>0</v>
      </c>
      <c r="AB19" s="145">
        <f>AB25</f>
        <v>0</v>
      </c>
      <c r="AC19" s="145">
        <f>AC25</f>
        <v>0</v>
      </c>
      <c r="AD19" s="145">
        <f>AD25</f>
        <v>0</v>
      </c>
      <c r="AE19" s="145">
        <f>AE25</f>
        <v>0</v>
      </c>
      <c r="AF19" s="272"/>
      <c r="AH19" s="38"/>
    </row>
    <row r="20" spans="1:34" s="37" customFormat="1" ht="22.5" customHeight="1" x14ac:dyDescent="0.25">
      <c r="A20" s="76" t="s">
        <v>103</v>
      </c>
      <c r="B20" s="146">
        <f>H20+J20+L20+N20+P20+R20+T20+V20+X20+Z20+AB20+AD20</f>
        <v>9577.0750000000007</v>
      </c>
      <c r="C20" s="147">
        <f>C26+C28+C30</f>
        <v>9577.0749999999989</v>
      </c>
      <c r="D20" s="147">
        <f>D26+D28+D30</f>
        <v>9577.0749999999989</v>
      </c>
      <c r="E20" s="147">
        <f>E26+E28+E30</f>
        <v>9200.7761900000023</v>
      </c>
      <c r="F20" s="79">
        <f t="shared" si="7"/>
        <v>0.96070837807994625</v>
      </c>
      <c r="G20" s="79">
        <f t="shared" si="8"/>
        <v>0.96070837807994647</v>
      </c>
      <c r="H20" s="147">
        <f t="shared" ref="H20:AE20" si="11">H26+H28+H30</f>
        <v>0</v>
      </c>
      <c r="I20" s="147">
        <f t="shared" si="11"/>
        <v>0</v>
      </c>
      <c r="J20" s="147">
        <f t="shared" si="11"/>
        <v>61.125</v>
      </c>
      <c r="K20" s="147">
        <f t="shared" si="11"/>
        <v>61.12462</v>
      </c>
      <c r="L20" s="147">
        <f t="shared" si="11"/>
        <v>531.48699999999997</v>
      </c>
      <c r="M20" s="147">
        <f t="shared" si="11"/>
        <v>22.553049999999999</v>
      </c>
      <c r="N20" s="147">
        <f t="shared" si="11"/>
        <v>0</v>
      </c>
      <c r="O20" s="147">
        <f t="shared" si="11"/>
        <v>259.09699999999998</v>
      </c>
      <c r="P20" s="147">
        <f t="shared" si="11"/>
        <v>0</v>
      </c>
      <c r="Q20" s="147">
        <f t="shared" si="11"/>
        <v>0</v>
      </c>
      <c r="R20" s="147">
        <f t="shared" si="11"/>
        <v>3185.8490000000002</v>
      </c>
      <c r="S20" s="147">
        <f t="shared" si="11"/>
        <v>3119.1178300000001</v>
      </c>
      <c r="T20" s="147">
        <f t="shared" si="11"/>
        <v>3398.1640000000002</v>
      </c>
      <c r="U20" s="147">
        <f t="shared" si="11"/>
        <v>3339.5254300000001</v>
      </c>
      <c r="V20" s="147">
        <f t="shared" si="11"/>
        <v>2400.4499999999998</v>
      </c>
      <c r="W20" s="147">
        <f t="shared" si="11"/>
        <v>2525.8197400000004</v>
      </c>
      <c r="X20" s="147">
        <f t="shared" si="11"/>
        <v>0</v>
      </c>
      <c r="Y20" s="147">
        <f t="shared" si="11"/>
        <v>-126.46147999999999</v>
      </c>
      <c r="Z20" s="147">
        <f t="shared" si="11"/>
        <v>0</v>
      </c>
      <c r="AA20" s="147">
        <f t="shared" si="11"/>
        <v>0</v>
      </c>
      <c r="AB20" s="147">
        <f t="shared" si="11"/>
        <v>0</v>
      </c>
      <c r="AC20" s="147">
        <f t="shared" si="11"/>
        <v>0</v>
      </c>
      <c r="AD20" s="147">
        <f t="shared" si="11"/>
        <v>0</v>
      </c>
      <c r="AE20" s="147">
        <f t="shared" si="11"/>
        <v>0</v>
      </c>
      <c r="AF20" s="273"/>
      <c r="AH20" s="38"/>
    </row>
    <row r="21" spans="1:34" s="37" customFormat="1" ht="33" x14ac:dyDescent="0.25">
      <c r="A21" s="218" t="s">
        <v>153</v>
      </c>
      <c r="B21" s="161">
        <v>0</v>
      </c>
      <c r="C21" s="162">
        <v>0</v>
      </c>
      <c r="D21" s="162">
        <v>0</v>
      </c>
      <c r="E21" s="162">
        <v>0</v>
      </c>
      <c r="F21" s="81" t="e">
        <f t="shared" si="7"/>
        <v>#DIV/0!</v>
      </c>
      <c r="G21" s="81" t="e">
        <f t="shared" si="8"/>
        <v>#DIV/0!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217"/>
      <c r="AH21" s="38"/>
    </row>
    <row r="22" spans="1:34" s="37" customFormat="1" x14ac:dyDescent="0.25">
      <c r="A22" s="103" t="s">
        <v>154</v>
      </c>
      <c r="B22" s="161">
        <v>0</v>
      </c>
      <c r="C22" s="162">
        <v>0</v>
      </c>
      <c r="D22" s="162">
        <v>0</v>
      </c>
      <c r="E22" s="162">
        <v>0</v>
      </c>
      <c r="F22" s="81" t="e">
        <f t="shared" si="7"/>
        <v>#DIV/0!</v>
      </c>
      <c r="G22" s="81" t="e">
        <f t="shared" si="8"/>
        <v>#DIV/0!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217"/>
      <c r="AH22" s="38"/>
    </row>
    <row r="23" spans="1:34" s="111" customFormat="1" ht="36.75" customHeight="1" x14ac:dyDescent="0.25">
      <c r="A23" s="125" t="s">
        <v>121</v>
      </c>
      <c r="B23" s="152"/>
      <c r="C23" s="152"/>
      <c r="D23" s="152"/>
      <c r="E23" s="152"/>
      <c r="F23" s="96"/>
      <c r="G23" s="9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274" t="s">
        <v>162</v>
      </c>
    </row>
    <row r="24" spans="1:34" s="111" customFormat="1" ht="20.25" customHeight="1" x14ac:dyDescent="0.25">
      <c r="A24" s="112" t="s">
        <v>122</v>
      </c>
      <c r="B24" s="116">
        <f>B26+B25</f>
        <v>10594.027539999999</v>
      </c>
      <c r="C24" s="116">
        <f>C26+C25</f>
        <v>10594.027539999999</v>
      </c>
      <c r="D24" s="116">
        <f>D26+D25</f>
        <v>10594.027539999999</v>
      </c>
      <c r="E24" s="116">
        <f>E26+E25</f>
        <v>10467.566060000001</v>
      </c>
      <c r="F24" s="224">
        <f>E24/B24</f>
        <v>0.98806294588884958</v>
      </c>
      <c r="G24" s="211">
        <f>E24/C24</f>
        <v>0.98806294588884958</v>
      </c>
      <c r="H24" s="117">
        <f>H26+H25</f>
        <v>0</v>
      </c>
      <c r="I24" s="113">
        <f t="shared" ref="I24:AE24" si="12">I26+I25</f>
        <v>0</v>
      </c>
      <c r="J24" s="113">
        <f t="shared" si="12"/>
        <v>0</v>
      </c>
      <c r="K24" s="113">
        <f t="shared" si="12"/>
        <v>0</v>
      </c>
      <c r="L24" s="113">
        <f t="shared" si="12"/>
        <v>0</v>
      </c>
      <c r="M24" s="113">
        <f t="shared" si="12"/>
        <v>0</v>
      </c>
      <c r="N24" s="113">
        <f t="shared" si="12"/>
        <v>0</v>
      </c>
      <c r="O24" s="113">
        <f t="shared" si="12"/>
        <v>0</v>
      </c>
      <c r="P24" s="113">
        <f t="shared" si="12"/>
        <v>0</v>
      </c>
      <c r="Q24" s="113">
        <f t="shared" si="12"/>
        <v>0</v>
      </c>
      <c r="R24" s="113">
        <f t="shared" si="12"/>
        <v>3675.3740000000003</v>
      </c>
      <c r="S24" s="113">
        <f t="shared" si="12"/>
        <v>3608.6428300000002</v>
      </c>
      <c r="T24" s="113">
        <f t="shared" si="12"/>
        <v>3470.4390000000003</v>
      </c>
      <c r="U24" s="113">
        <f t="shared" si="12"/>
        <v>3399.36076</v>
      </c>
      <c r="V24" s="113">
        <f t="shared" si="12"/>
        <v>3448.2145399999999</v>
      </c>
      <c r="W24" s="113">
        <f t="shared" si="12"/>
        <v>3051.6319000000003</v>
      </c>
      <c r="X24" s="113">
        <f t="shared" si="12"/>
        <v>0</v>
      </c>
      <c r="Y24" s="113">
        <f t="shared" si="12"/>
        <v>407.93057000000005</v>
      </c>
      <c r="Z24" s="113">
        <f t="shared" si="12"/>
        <v>0</v>
      </c>
      <c r="AA24" s="113">
        <f t="shared" si="12"/>
        <v>0</v>
      </c>
      <c r="AB24" s="113">
        <f t="shared" si="12"/>
        <v>0</v>
      </c>
      <c r="AC24" s="113">
        <f t="shared" si="12"/>
        <v>0</v>
      </c>
      <c r="AD24" s="113">
        <f t="shared" si="12"/>
        <v>0</v>
      </c>
      <c r="AE24" s="113">
        <f t="shared" si="12"/>
        <v>0</v>
      </c>
      <c r="AF24" s="275"/>
    </row>
    <row r="25" spans="1:34" s="111" customFormat="1" ht="21" customHeight="1" x14ac:dyDescent="0.25">
      <c r="A25" s="112" t="s">
        <v>102</v>
      </c>
      <c r="B25" s="116">
        <f>H25+J25+L25+N25+P25+R25+T25+V25+X25+Z25+AB25+AD25</f>
        <v>1609.5645400000001</v>
      </c>
      <c r="C25" s="117">
        <f>H25+J25+L25+N25+P25+R25+T25+V25+X25+Z25+AB25+AD25</f>
        <v>1609.5645400000001</v>
      </c>
      <c r="D25" s="117">
        <f>1609564.54/1000</f>
        <v>1609.5645400000001</v>
      </c>
      <c r="E25" s="117">
        <f>I25+K25+M25+O25+Q25+S25+U25+W25+Y25+AA25+AC25+AE25</f>
        <v>1609.5645399999999</v>
      </c>
      <c r="F25" s="122">
        <f>E25/B25</f>
        <v>0.99999999999999989</v>
      </c>
      <c r="G25" s="211">
        <f t="shared" ref="G25" si="13">E25/C25</f>
        <v>0.99999999999999989</v>
      </c>
      <c r="H25" s="117">
        <v>0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>
        <f>489525/1000</f>
        <v>489.52499999999998</v>
      </c>
      <c r="S25" s="117">
        <f>489525/1000</f>
        <v>489.52499999999998</v>
      </c>
      <c r="T25" s="117">
        <f>72275/1000</f>
        <v>72.275000000000006</v>
      </c>
      <c r="U25" s="117">
        <f>59835.33/1000</f>
        <v>59.835329999999999</v>
      </c>
      <c r="V25" s="117">
        <f>1047764.54/1000</f>
        <v>1047.7645400000001</v>
      </c>
      <c r="W25" s="117">
        <f>525812.16/1000</f>
        <v>525.81216000000006</v>
      </c>
      <c r="X25" s="117"/>
      <c r="Y25" s="117">
        <f>534392.05/1000</f>
        <v>534.39205000000004</v>
      </c>
      <c r="Z25" s="117"/>
      <c r="AA25" s="117"/>
      <c r="AB25" s="117"/>
      <c r="AC25" s="117"/>
      <c r="AD25" s="117"/>
      <c r="AE25" s="162"/>
      <c r="AF25" s="275"/>
      <c r="AG25" s="107"/>
    </row>
    <row r="26" spans="1:34" s="111" customFormat="1" ht="18.75" customHeight="1" x14ac:dyDescent="0.25">
      <c r="A26" s="112" t="s">
        <v>103</v>
      </c>
      <c r="B26" s="116">
        <f>H26+J26+L26+N26+P26+R26+T26+V26+X26+Z26+AB26+AD26</f>
        <v>8984.4629999999997</v>
      </c>
      <c r="C26" s="117">
        <f>H26+J26+L26+N26+P26+R26+T26+V26+X26+Z26+AB26+AD26</f>
        <v>8984.4629999999997</v>
      </c>
      <c r="D26" s="117">
        <f>8984463/1000</f>
        <v>8984.4629999999997</v>
      </c>
      <c r="E26" s="117">
        <f>I26+K26+M26+O26+Q26+S26+U26+W26+Y26+AA26+AC26+AE26</f>
        <v>8858.0015200000016</v>
      </c>
      <c r="F26" s="122">
        <f>E26/B26</f>
        <v>0.98592442531067259</v>
      </c>
      <c r="G26" s="211">
        <f>E26/C26</f>
        <v>0.98592442531067259</v>
      </c>
      <c r="H26" s="117"/>
      <c r="I26" s="117"/>
      <c r="J26" s="117"/>
      <c r="K26" s="117"/>
      <c r="L26" s="117"/>
      <c r="M26" s="117"/>
      <c r="N26" s="117">
        <v>0</v>
      </c>
      <c r="O26" s="117"/>
      <c r="P26" s="117"/>
      <c r="Q26" s="117"/>
      <c r="R26" s="117">
        <f>3185849/1000</f>
        <v>3185.8490000000002</v>
      </c>
      <c r="S26" s="117">
        <f>3119117.83/1000</f>
        <v>3119.1178300000001</v>
      </c>
      <c r="T26" s="117">
        <f>3398164/1000</f>
        <v>3398.1640000000002</v>
      </c>
      <c r="U26" s="117">
        <f>3339525.43/1000</f>
        <v>3339.5254300000001</v>
      </c>
      <c r="V26" s="117">
        <f>2400450/1000</f>
        <v>2400.4499999999998</v>
      </c>
      <c r="W26" s="117">
        <f>2525819.74/1000</f>
        <v>2525.8197400000004</v>
      </c>
      <c r="X26" s="117"/>
      <c r="Y26" s="117">
        <f>-126461.48/1000</f>
        <v>-126.46147999999999</v>
      </c>
      <c r="Z26" s="117"/>
      <c r="AA26" s="117"/>
      <c r="AB26" s="117"/>
      <c r="AC26" s="117"/>
      <c r="AD26" s="117"/>
      <c r="AE26" s="162"/>
      <c r="AF26" s="275"/>
      <c r="AG26" s="107"/>
    </row>
    <row r="27" spans="1:34" s="111" customFormat="1" ht="94.5" customHeight="1" x14ac:dyDescent="0.25">
      <c r="A27" s="125" t="s">
        <v>123</v>
      </c>
      <c r="B27" s="115"/>
      <c r="C27" s="115"/>
      <c r="D27" s="115"/>
      <c r="E27" s="115"/>
      <c r="F27" s="123"/>
      <c r="G27" s="123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52"/>
      <c r="AF27" s="275"/>
      <c r="AG27" s="107"/>
    </row>
    <row r="28" spans="1:34" s="111" customFormat="1" ht="23.25" customHeight="1" x14ac:dyDescent="0.25">
      <c r="A28" s="112" t="s">
        <v>103</v>
      </c>
      <c r="B28" s="116">
        <f>H28+J28+L28+N28+P28+R28+T28+V28+X28+Z28+AB28+AD28</f>
        <v>531.48699999999997</v>
      </c>
      <c r="C28" s="117">
        <f>H28+J28+L28+N28+P28+R28+T28+V28+X28+Z28+AB28+AD28</f>
        <v>531.48699999999997</v>
      </c>
      <c r="D28" s="118">
        <f>531487/1000</f>
        <v>531.48699999999997</v>
      </c>
      <c r="E28" s="117">
        <f>I28+K28+M28+O28+Q28+S28+U28+W28+Y28+AA28+AC28+AE28</f>
        <v>281.65004999999996</v>
      </c>
      <c r="F28" s="122">
        <f>E28/B28</f>
        <v>0.52992838959372479</v>
      </c>
      <c r="G28" s="211">
        <f>E28/C28</f>
        <v>0.52992838959372479</v>
      </c>
      <c r="H28" s="118"/>
      <c r="I28" s="118"/>
      <c r="J28" s="118"/>
      <c r="K28" s="118"/>
      <c r="L28" s="118">
        <f>531487/1000</f>
        <v>531.48699999999997</v>
      </c>
      <c r="M28" s="118">
        <f>22553.05/1000</f>
        <v>22.553049999999999</v>
      </c>
      <c r="N28" s="118">
        <v>0</v>
      </c>
      <c r="O28" s="118">
        <f>259097/1000</f>
        <v>259.09699999999998</v>
      </c>
      <c r="P28" s="118"/>
      <c r="Q28" s="118">
        <v>0</v>
      </c>
      <c r="R28" s="118"/>
      <c r="S28" s="118">
        <v>0</v>
      </c>
      <c r="T28" s="118"/>
      <c r="U28" s="118">
        <v>0</v>
      </c>
      <c r="V28" s="118">
        <v>0</v>
      </c>
      <c r="W28" s="118">
        <v>0</v>
      </c>
      <c r="X28" s="118">
        <v>0</v>
      </c>
      <c r="Y28" s="118"/>
      <c r="Z28" s="118"/>
      <c r="AA28" s="118"/>
      <c r="AB28" s="118"/>
      <c r="AC28" s="118"/>
      <c r="AD28" s="118"/>
      <c r="AE28" s="118"/>
      <c r="AF28" s="275"/>
      <c r="AG28" s="107"/>
    </row>
    <row r="29" spans="1:34" s="111" customFormat="1" ht="39.75" customHeight="1" x14ac:dyDescent="0.25">
      <c r="A29" s="125" t="s">
        <v>124</v>
      </c>
      <c r="B29" s="115"/>
      <c r="C29" s="115"/>
      <c r="D29" s="115"/>
      <c r="E29" s="115"/>
      <c r="F29" s="123"/>
      <c r="G29" s="123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52"/>
      <c r="AF29" s="275"/>
      <c r="AG29" s="107"/>
    </row>
    <row r="30" spans="1:34" s="111" customFormat="1" ht="25.5" customHeight="1" x14ac:dyDescent="0.25">
      <c r="A30" s="112" t="s">
        <v>103</v>
      </c>
      <c r="B30" s="116">
        <f>H30+J30+L30+N30+P30+R30+T30+V30+X30+Z30+AB30+AD30</f>
        <v>61.125</v>
      </c>
      <c r="C30" s="117">
        <f>H30+J30+L30+N30+P30+R30+T30+V30+X30+Z30+AB30+AD30</f>
        <v>61.125</v>
      </c>
      <c r="D30" s="116">
        <f>C30</f>
        <v>61.125</v>
      </c>
      <c r="E30" s="117">
        <f>I30+K30+M30+O30+Q30+S30+U30+W30+Y30+AA30+AC30+AE30</f>
        <v>61.12462</v>
      </c>
      <c r="F30" s="122">
        <f>E30/B30</f>
        <v>0.9999937832310839</v>
      </c>
      <c r="G30" s="211">
        <f>E30/C30</f>
        <v>0.9999937832310839</v>
      </c>
      <c r="H30" s="118"/>
      <c r="I30" s="118"/>
      <c r="J30" s="118">
        <f>61125/1000</f>
        <v>61.125</v>
      </c>
      <c r="K30" s="118">
        <f>61124.62/1000</f>
        <v>61.12462</v>
      </c>
      <c r="L30" s="118">
        <v>0</v>
      </c>
      <c r="M30" s="118"/>
      <c r="N30" s="118"/>
      <c r="O30" s="118"/>
      <c r="P30" s="118"/>
      <c r="Q30" s="118">
        <v>0</v>
      </c>
      <c r="R30" s="118"/>
      <c r="S30" s="118">
        <v>0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276"/>
      <c r="AG30" s="107"/>
    </row>
    <row r="31" spans="1:34" s="37" customFormat="1" ht="92.25" customHeight="1" x14ac:dyDescent="0.25">
      <c r="A31" s="119" t="s">
        <v>108</v>
      </c>
      <c r="B31" s="148"/>
      <c r="C31" s="149"/>
      <c r="D31" s="149"/>
      <c r="E31" s="150"/>
      <c r="F31" s="120"/>
      <c r="G31" s="12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70"/>
      <c r="AE31" s="171"/>
      <c r="AF31" s="271" t="s">
        <v>165</v>
      </c>
      <c r="AH31" s="38"/>
    </row>
    <row r="32" spans="1:34" s="37" customFormat="1" ht="36" customHeight="1" x14ac:dyDescent="0.25">
      <c r="A32" s="125" t="s">
        <v>121</v>
      </c>
      <c r="B32" s="153"/>
      <c r="C32" s="153"/>
      <c r="D32" s="153"/>
      <c r="E32" s="153"/>
      <c r="F32" s="97"/>
      <c r="G32" s="97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265"/>
      <c r="AH32" s="61"/>
    </row>
    <row r="33" spans="1:34" s="37" customFormat="1" ht="18.75" customHeight="1" x14ac:dyDescent="0.25">
      <c r="A33" s="69" t="s">
        <v>25</v>
      </c>
      <c r="B33" s="151">
        <f>B36+B35</f>
        <v>1918.7447700000002</v>
      </c>
      <c r="C33" s="151">
        <f>C36+C35</f>
        <v>1918.7447700000002</v>
      </c>
      <c r="D33" s="151">
        <f>D36+D35</f>
        <v>1918.7196599999997</v>
      </c>
      <c r="E33" s="151">
        <f>E36+E35</f>
        <v>1907.4290800000001</v>
      </c>
      <c r="F33" s="70">
        <f t="shared" ref="F33:F38" si="14">E33/B33</f>
        <v>0.99410255591211327</v>
      </c>
      <c r="G33" s="70">
        <f t="shared" ref="G33:G38" si="15">E33/C33</f>
        <v>0.99410255591211327</v>
      </c>
      <c r="H33" s="151">
        <f>H36+H35</f>
        <v>0</v>
      </c>
      <c r="I33" s="151">
        <f t="shared" ref="I33:AE33" si="16">I36+I35</f>
        <v>0</v>
      </c>
      <c r="J33" s="151">
        <f t="shared" si="16"/>
        <v>298.56700000000001</v>
      </c>
      <c r="K33" s="151">
        <f t="shared" si="16"/>
        <v>297.80165999999997</v>
      </c>
      <c r="L33" s="151">
        <f t="shared" si="16"/>
        <v>317.06200000000001</v>
      </c>
      <c r="M33" s="151">
        <f t="shared" si="16"/>
        <v>272.35234000000003</v>
      </c>
      <c r="N33" s="151">
        <f t="shared" si="16"/>
        <v>260.97399999999999</v>
      </c>
      <c r="O33" s="151">
        <f t="shared" si="16"/>
        <v>300.49619999999999</v>
      </c>
      <c r="P33" s="151">
        <f t="shared" si="16"/>
        <v>261.71899999999999</v>
      </c>
      <c r="Q33" s="151">
        <f t="shared" si="16"/>
        <v>262.83276000000001</v>
      </c>
      <c r="R33" s="151">
        <f t="shared" si="16"/>
        <v>0</v>
      </c>
      <c r="S33" s="151">
        <f t="shared" si="16"/>
        <v>0</v>
      </c>
      <c r="T33" s="151">
        <f t="shared" si="16"/>
        <v>0</v>
      </c>
      <c r="U33" s="151">
        <f t="shared" si="16"/>
        <v>0</v>
      </c>
      <c r="V33" s="151">
        <f t="shared" si="16"/>
        <v>0</v>
      </c>
      <c r="W33" s="151">
        <f t="shared" si="16"/>
        <v>0</v>
      </c>
      <c r="X33" s="151">
        <f t="shared" si="16"/>
        <v>261.71799999999996</v>
      </c>
      <c r="Y33" s="151">
        <f t="shared" si="16"/>
        <v>261.42021</v>
      </c>
      <c r="Z33" s="151">
        <f t="shared" si="16"/>
        <v>257.28399999999999</v>
      </c>
      <c r="AA33" s="151">
        <f t="shared" si="16"/>
        <v>259.12013999999999</v>
      </c>
      <c r="AB33" s="151">
        <f t="shared" si="16"/>
        <v>261.42077</v>
      </c>
      <c r="AC33" s="151">
        <f t="shared" si="16"/>
        <v>224.56835000000001</v>
      </c>
      <c r="AD33" s="151">
        <f t="shared" si="16"/>
        <v>0</v>
      </c>
      <c r="AE33" s="151">
        <f t="shared" si="16"/>
        <v>28.837420000000002</v>
      </c>
      <c r="AF33" s="265"/>
      <c r="AG33" s="107"/>
      <c r="AH33" s="38"/>
    </row>
    <row r="34" spans="1:34" s="37" customFormat="1" x14ac:dyDescent="0.25">
      <c r="A34" s="103" t="s">
        <v>152</v>
      </c>
      <c r="B34" s="161">
        <v>0</v>
      </c>
      <c r="C34" s="161">
        <v>0</v>
      </c>
      <c r="D34" s="161">
        <v>0</v>
      </c>
      <c r="E34" s="161">
        <v>0</v>
      </c>
      <c r="F34" s="81" t="e">
        <f t="shared" si="14"/>
        <v>#DIV/0!</v>
      </c>
      <c r="G34" s="81" t="e">
        <f t="shared" si="15"/>
        <v>#DIV/0!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265"/>
      <c r="AH34" s="38"/>
    </row>
    <row r="35" spans="1:34" s="37" customFormat="1" ht="22.5" customHeight="1" x14ac:dyDescent="0.25">
      <c r="A35" s="72" t="s">
        <v>102</v>
      </c>
      <c r="B35" s="144">
        <f>H35+J35+L35+N35+P35+R35+T35+V35+X35+Z35+AB35+AD35</f>
        <v>294.01976999999999</v>
      </c>
      <c r="C35" s="145">
        <f>H35+J35+L35+N35+P35+R35+T35+V35+X35+Z35+AB35</f>
        <v>294.01976999999999</v>
      </c>
      <c r="D35" s="145">
        <f>293994.66/1000</f>
        <v>293.99465999999995</v>
      </c>
      <c r="E35" s="145">
        <f>I35+K35+M35+O35+Q35+S35+U35+W35+Y35+AA35+AC35+AE35</f>
        <v>293.99466000000001</v>
      </c>
      <c r="F35" s="75">
        <f t="shared" si="14"/>
        <v>0.99991459757961176</v>
      </c>
      <c r="G35" s="75">
        <f t="shared" si="15"/>
        <v>0.99991459757961176</v>
      </c>
      <c r="H35" s="145">
        <v>0</v>
      </c>
      <c r="I35" s="145">
        <v>0</v>
      </c>
      <c r="J35" s="145">
        <v>0</v>
      </c>
      <c r="K35" s="145"/>
      <c r="L35" s="145">
        <f>45475/1000</f>
        <v>45.475000000000001</v>
      </c>
      <c r="M35" s="173"/>
      <c r="N35" s="145">
        <f>48150/1000</f>
        <v>48.15</v>
      </c>
      <c r="O35" s="145">
        <f>93491.25/1000</f>
        <v>93.491249999999994</v>
      </c>
      <c r="P35" s="145">
        <f>40125/1000</f>
        <v>40.125</v>
      </c>
      <c r="Q35" s="145">
        <f>40003.41/1000</f>
        <v>40.003410000000002</v>
      </c>
      <c r="R35" s="173"/>
      <c r="S35" s="173"/>
      <c r="T35" s="173"/>
      <c r="U35" s="173"/>
      <c r="V35" s="173"/>
      <c r="W35" s="173"/>
      <c r="X35" s="145">
        <f>40125/1000</f>
        <v>40.125</v>
      </c>
      <c r="Y35" s="145">
        <f>40125/1000</f>
        <v>40.125</v>
      </c>
      <c r="Z35" s="145">
        <f>40125/1000</f>
        <v>40.125</v>
      </c>
      <c r="AA35" s="145">
        <f>40125/1000</f>
        <v>40.125</v>
      </c>
      <c r="AB35" s="145">
        <f>80019.77/1000</f>
        <v>80.019770000000008</v>
      </c>
      <c r="AC35" s="145">
        <f>40125/1000</f>
        <v>40.125</v>
      </c>
      <c r="AD35" s="145"/>
      <c r="AE35" s="145">
        <f>40125/1000</f>
        <v>40.125</v>
      </c>
      <c r="AF35" s="265"/>
      <c r="AG35" s="107"/>
      <c r="AH35" s="38"/>
    </row>
    <row r="36" spans="1:34" s="37" customFormat="1" ht="24.75" customHeight="1" x14ac:dyDescent="0.25">
      <c r="A36" s="76" t="s">
        <v>103</v>
      </c>
      <c r="B36" s="146">
        <f>H36+J36+L36+N36+P36+R36+T36+V36+X36+Z36+AB36+AD36</f>
        <v>1624.7250000000001</v>
      </c>
      <c r="C36" s="147">
        <f>H36+J36+L36+N36+P36+R36+T36+V36+X36+Z36+AB36</f>
        <v>1624.7250000000001</v>
      </c>
      <c r="D36" s="147">
        <f>1624725/1000</f>
        <v>1624.7249999999999</v>
      </c>
      <c r="E36" s="147">
        <f>I36+K36+M36+O36+Q36+S36+U36+W36+Y36+AA36+AC36+AE36</f>
        <v>1613.43442</v>
      </c>
      <c r="F36" s="79">
        <f t="shared" si="14"/>
        <v>0.9930507747464955</v>
      </c>
      <c r="G36" s="79">
        <f t="shared" si="15"/>
        <v>0.9930507747464955</v>
      </c>
      <c r="H36" s="147">
        <v>0</v>
      </c>
      <c r="I36" s="147">
        <v>0</v>
      </c>
      <c r="J36" s="147">
        <f>298567/1000</f>
        <v>298.56700000000001</v>
      </c>
      <c r="K36" s="147">
        <f>297801.66/1000</f>
        <v>297.80165999999997</v>
      </c>
      <c r="L36" s="147">
        <f>271587/1000</f>
        <v>271.58699999999999</v>
      </c>
      <c r="M36" s="147">
        <f>272352.34/1000</f>
        <v>272.35234000000003</v>
      </c>
      <c r="N36" s="147">
        <f>212824/1000</f>
        <v>212.82400000000001</v>
      </c>
      <c r="O36" s="147">
        <f>207004.95/1000</f>
        <v>207.00495000000001</v>
      </c>
      <c r="P36" s="147">
        <f>221594/1000</f>
        <v>221.59399999999999</v>
      </c>
      <c r="Q36" s="147">
        <f>222829.35/1000</f>
        <v>222.82935000000001</v>
      </c>
      <c r="R36" s="174"/>
      <c r="S36" s="174"/>
      <c r="T36" s="174"/>
      <c r="U36" s="174"/>
      <c r="V36" s="174"/>
      <c r="W36" s="174"/>
      <c r="X36" s="147">
        <f>221593/1000</f>
        <v>221.59299999999999</v>
      </c>
      <c r="Y36" s="147">
        <f>221295.21/1000</f>
        <v>221.29521</v>
      </c>
      <c r="Z36" s="147">
        <f>217159/1000</f>
        <v>217.15899999999999</v>
      </c>
      <c r="AA36" s="147">
        <f>218995.14/1000</f>
        <v>218.99514000000002</v>
      </c>
      <c r="AB36" s="147">
        <f>181401/1000</f>
        <v>181.40100000000001</v>
      </c>
      <c r="AC36" s="147">
        <f>184443.35/1000</f>
        <v>184.44335000000001</v>
      </c>
      <c r="AD36" s="147"/>
      <c r="AE36" s="147">
        <f>-11287.58/1000</f>
        <v>-11.28758</v>
      </c>
      <c r="AF36" s="266"/>
      <c r="AG36" s="107"/>
      <c r="AH36" s="38"/>
    </row>
    <row r="37" spans="1:34" s="37" customFormat="1" ht="33" x14ac:dyDescent="0.25">
      <c r="A37" s="218" t="s">
        <v>153</v>
      </c>
      <c r="B37" s="161">
        <v>0</v>
      </c>
      <c r="C37" s="162">
        <v>0</v>
      </c>
      <c r="D37" s="162">
        <v>0</v>
      </c>
      <c r="E37" s="162">
        <v>0</v>
      </c>
      <c r="F37" s="81" t="e">
        <f t="shared" si="14"/>
        <v>#DIV/0!</v>
      </c>
      <c r="G37" s="81" t="e">
        <f t="shared" si="15"/>
        <v>#DIV/0!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217"/>
      <c r="AH37" s="38"/>
    </row>
    <row r="38" spans="1:34" s="37" customFormat="1" x14ac:dyDescent="0.25">
      <c r="A38" s="103" t="s">
        <v>154</v>
      </c>
      <c r="B38" s="161">
        <v>0</v>
      </c>
      <c r="C38" s="162">
        <v>0</v>
      </c>
      <c r="D38" s="162">
        <v>0</v>
      </c>
      <c r="E38" s="162"/>
      <c r="F38" s="81" t="e">
        <f t="shared" si="14"/>
        <v>#DIV/0!</v>
      </c>
      <c r="G38" s="81" t="e">
        <f t="shared" si="15"/>
        <v>#DIV/0!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217"/>
      <c r="AH38" s="38"/>
    </row>
    <row r="39" spans="1:34" s="37" customFormat="1" ht="72.75" customHeight="1" x14ac:dyDescent="0.25">
      <c r="A39" s="119" t="s">
        <v>114</v>
      </c>
      <c r="B39" s="148"/>
      <c r="C39" s="149"/>
      <c r="D39" s="149"/>
      <c r="E39" s="150"/>
      <c r="F39" s="120"/>
      <c r="G39" s="12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70"/>
      <c r="AE39" s="171"/>
      <c r="AF39" s="271" t="s">
        <v>164</v>
      </c>
      <c r="AH39" s="38"/>
    </row>
    <row r="40" spans="1:34" s="37" customFormat="1" x14ac:dyDescent="0.25">
      <c r="A40" s="69" t="s">
        <v>25</v>
      </c>
      <c r="B40" s="151">
        <f>B43</f>
        <v>1827.8007600000001</v>
      </c>
      <c r="C40" s="151">
        <f>C43</f>
        <v>1827.8007600000001</v>
      </c>
      <c r="D40" s="151">
        <f t="shared" ref="D40:AE40" si="17">D43</f>
        <v>1827.8000000000002</v>
      </c>
      <c r="E40" s="151">
        <f t="shared" si="17"/>
        <v>1694.4700999999995</v>
      </c>
      <c r="F40" s="70">
        <f t="shared" ref="F40:F45" si="18">E40/B40</f>
        <v>0.92705405155866083</v>
      </c>
      <c r="G40" s="70">
        <f t="shared" ref="G40:G45" si="19">E40/C40</f>
        <v>0.92705405155866083</v>
      </c>
      <c r="H40" s="151">
        <f t="shared" si="17"/>
        <v>0</v>
      </c>
      <c r="I40" s="151">
        <f t="shared" si="17"/>
        <v>0</v>
      </c>
      <c r="J40" s="151">
        <f t="shared" si="17"/>
        <v>0</v>
      </c>
      <c r="K40" s="151">
        <f t="shared" si="17"/>
        <v>0</v>
      </c>
      <c r="L40" s="151">
        <f t="shared" si="17"/>
        <v>46.506999999999998</v>
      </c>
      <c r="M40" s="151">
        <f t="shared" si="17"/>
        <v>0</v>
      </c>
      <c r="N40" s="151">
        <f t="shared" si="17"/>
        <v>0</v>
      </c>
      <c r="O40" s="151">
        <f t="shared" si="17"/>
        <v>22.847999999999999</v>
      </c>
      <c r="P40" s="151">
        <f t="shared" si="17"/>
        <v>0</v>
      </c>
      <c r="Q40" s="151">
        <f t="shared" si="17"/>
        <v>0</v>
      </c>
      <c r="R40" s="151">
        <f t="shared" si="17"/>
        <v>615.34300000000007</v>
      </c>
      <c r="S40" s="151">
        <f t="shared" si="17"/>
        <v>596.77970999999991</v>
      </c>
      <c r="T40" s="151">
        <f t="shared" si="17"/>
        <v>582.99400000000003</v>
      </c>
      <c r="U40" s="151">
        <f t="shared" si="17"/>
        <v>546.70436999999993</v>
      </c>
      <c r="V40" s="151">
        <f t="shared" si="17"/>
        <v>582.95676000000003</v>
      </c>
      <c r="W40" s="151">
        <f t="shared" si="17"/>
        <v>528.13801999999998</v>
      </c>
      <c r="X40" s="151">
        <f t="shared" si="17"/>
        <v>0</v>
      </c>
      <c r="Y40" s="151">
        <f t="shared" si="17"/>
        <v>0</v>
      </c>
      <c r="Z40" s="151">
        <f t="shared" si="17"/>
        <v>0</v>
      </c>
      <c r="AA40" s="151">
        <f t="shared" si="17"/>
        <v>0</v>
      </c>
      <c r="AB40" s="151">
        <f t="shared" si="17"/>
        <v>0</v>
      </c>
      <c r="AC40" s="151">
        <f t="shared" si="17"/>
        <v>0</v>
      </c>
      <c r="AD40" s="151">
        <f t="shared" si="17"/>
        <v>0</v>
      </c>
      <c r="AE40" s="175">
        <f t="shared" si="17"/>
        <v>0</v>
      </c>
      <c r="AF40" s="265"/>
      <c r="AG40" s="107"/>
      <c r="AH40" s="38"/>
    </row>
    <row r="41" spans="1:34" s="37" customFormat="1" x14ac:dyDescent="0.25">
      <c r="A41" s="103" t="s">
        <v>152</v>
      </c>
      <c r="B41" s="161">
        <v>0</v>
      </c>
      <c r="C41" s="161">
        <v>0</v>
      </c>
      <c r="D41" s="161">
        <v>0</v>
      </c>
      <c r="E41" s="161">
        <v>0</v>
      </c>
      <c r="F41" s="81" t="e">
        <f t="shared" si="18"/>
        <v>#DIV/0!</v>
      </c>
      <c r="G41" s="81" t="e">
        <f t="shared" si="19"/>
        <v>#DIV/0!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265"/>
      <c r="AH41" s="38"/>
    </row>
    <row r="42" spans="1:34" s="37" customFormat="1" ht="22.5" customHeight="1" x14ac:dyDescent="0.25">
      <c r="A42" s="72" t="s">
        <v>102</v>
      </c>
      <c r="B42" s="144">
        <f>H42+J42+L42+N42+P42+R42+T42+V42+X42+Z42+AB42+AD42</f>
        <v>0</v>
      </c>
      <c r="C42" s="145">
        <f>H42+J42+L42+N42+P42</f>
        <v>0</v>
      </c>
      <c r="D42" s="145">
        <v>0</v>
      </c>
      <c r="E42" s="145">
        <f>I42+K42+M42+O42+Q42+S42+U42+W42+Y42+AA42+AC42+AE42</f>
        <v>0</v>
      </c>
      <c r="F42" s="75" t="e">
        <f t="shared" si="18"/>
        <v>#DIV/0!</v>
      </c>
      <c r="G42" s="75" t="e">
        <f t="shared" si="19"/>
        <v>#DIV/0!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265"/>
      <c r="AG42" s="107"/>
      <c r="AH42" s="38"/>
    </row>
    <row r="43" spans="1:34" s="37" customFormat="1" ht="19.5" customHeight="1" x14ac:dyDescent="0.25">
      <c r="A43" s="84" t="s">
        <v>103</v>
      </c>
      <c r="B43" s="146">
        <f>H43+J43+L43+N43+P43+R43+T43+V43+X43+Z43+AB43+AD43</f>
        <v>1827.8007600000001</v>
      </c>
      <c r="C43" s="147">
        <f>C47+C49</f>
        <v>1827.8007600000001</v>
      </c>
      <c r="D43" s="147">
        <f>D47+D49</f>
        <v>1827.8000000000002</v>
      </c>
      <c r="E43" s="147">
        <f>I43+K43+M43+O43+Q43+S43+U43+W43+Y43+AA43+AC43+AE43</f>
        <v>1694.4700999999995</v>
      </c>
      <c r="F43" s="79">
        <f t="shared" si="18"/>
        <v>0.92705405155866083</v>
      </c>
      <c r="G43" s="79">
        <f t="shared" si="19"/>
        <v>0.92705405155866083</v>
      </c>
      <c r="H43" s="176">
        <f>H47+H49</f>
        <v>0</v>
      </c>
      <c r="I43" s="176">
        <f t="shared" ref="I43:AE43" si="20">I47+I49</f>
        <v>0</v>
      </c>
      <c r="J43" s="176">
        <f t="shared" si="20"/>
        <v>0</v>
      </c>
      <c r="K43" s="176">
        <f t="shared" si="20"/>
        <v>0</v>
      </c>
      <c r="L43" s="147">
        <f t="shared" si="20"/>
        <v>46.506999999999998</v>
      </c>
      <c r="M43" s="147">
        <f t="shared" si="20"/>
        <v>0</v>
      </c>
      <c r="N43" s="147">
        <f t="shared" si="20"/>
        <v>0</v>
      </c>
      <c r="O43" s="147">
        <f t="shared" si="20"/>
        <v>22.847999999999999</v>
      </c>
      <c r="P43" s="147">
        <f t="shared" si="20"/>
        <v>0</v>
      </c>
      <c r="Q43" s="147">
        <f t="shared" si="20"/>
        <v>0</v>
      </c>
      <c r="R43" s="147">
        <f>R47+R49</f>
        <v>615.34300000000007</v>
      </c>
      <c r="S43" s="147">
        <f t="shared" si="20"/>
        <v>596.77970999999991</v>
      </c>
      <c r="T43" s="147">
        <f t="shared" si="20"/>
        <v>582.99400000000003</v>
      </c>
      <c r="U43" s="147">
        <f t="shared" si="20"/>
        <v>546.70436999999993</v>
      </c>
      <c r="V43" s="147">
        <f t="shared" si="20"/>
        <v>582.95676000000003</v>
      </c>
      <c r="W43" s="147">
        <f t="shared" si="20"/>
        <v>528.13801999999998</v>
      </c>
      <c r="X43" s="147">
        <f t="shared" si="20"/>
        <v>0</v>
      </c>
      <c r="Y43" s="147">
        <f t="shared" si="20"/>
        <v>0</v>
      </c>
      <c r="Z43" s="147">
        <f t="shared" si="20"/>
        <v>0</v>
      </c>
      <c r="AA43" s="147">
        <f t="shared" si="20"/>
        <v>0</v>
      </c>
      <c r="AB43" s="147">
        <f t="shared" si="20"/>
        <v>0</v>
      </c>
      <c r="AC43" s="147">
        <f t="shared" si="20"/>
        <v>0</v>
      </c>
      <c r="AD43" s="147">
        <f t="shared" si="20"/>
        <v>0</v>
      </c>
      <c r="AE43" s="147">
        <f t="shared" si="20"/>
        <v>0</v>
      </c>
      <c r="AF43" s="265"/>
      <c r="AG43" s="39"/>
      <c r="AH43" s="40"/>
    </row>
    <row r="44" spans="1:34" s="37" customFormat="1" ht="33" x14ac:dyDescent="0.25">
      <c r="A44" s="218" t="s">
        <v>153</v>
      </c>
      <c r="B44" s="161">
        <v>0</v>
      </c>
      <c r="C44" s="162">
        <v>0</v>
      </c>
      <c r="D44" s="162">
        <v>0</v>
      </c>
      <c r="E44" s="162">
        <v>0</v>
      </c>
      <c r="F44" s="81" t="e">
        <f t="shared" si="18"/>
        <v>#DIV/0!</v>
      </c>
      <c r="G44" s="81" t="e">
        <f t="shared" si="19"/>
        <v>#DIV/0!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265"/>
      <c r="AH44" s="38"/>
    </row>
    <row r="45" spans="1:34" s="37" customFormat="1" x14ac:dyDescent="0.25">
      <c r="A45" s="103" t="s">
        <v>154</v>
      </c>
      <c r="B45" s="161">
        <v>0</v>
      </c>
      <c r="C45" s="162">
        <v>0</v>
      </c>
      <c r="D45" s="162">
        <v>0</v>
      </c>
      <c r="E45" s="162">
        <v>0</v>
      </c>
      <c r="F45" s="81" t="e">
        <f t="shared" si="18"/>
        <v>#DIV/0!</v>
      </c>
      <c r="G45" s="81" t="e">
        <f t="shared" si="19"/>
        <v>#DIV/0!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265"/>
      <c r="AH45" s="38"/>
    </row>
    <row r="46" spans="1:34" s="111" customFormat="1" ht="38.25" customHeight="1" x14ac:dyDescent="0.25">
      <c r="A46" s="125" t="s">
        <v>121</v>
      </c>
      <c r="B46" s="154"/>
      <c r="C46" s="154"/>
      <c r="D46" s="154"/>
      <c r="E46" s="154"/>
      <c r="F46" s="124"/>
      <c r="G46" s="124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9"/>
      <c r="AF46" s="265"/>
    </row>
    <row r="47" spans="1:34" s="111" customFormat="1" ht="19.5" customHeight="1" x14ac:dyDescent="0.25">
      <c r="A47" s="114" t="s">
        <v>103</v>
      </c>
      <c r="B47" s="155">
        <f>H47+J47+L47+N47+P47+R47+T47+V47+X47+Z47+AB47+AD47</f>
        <v>1555.01386</v>
      </c>
      <c r="C47" s="156">
        <f>H47+J47+L47+N47+P47+R47+T47+V47+X47+Z47+AB47+AD47</f>
        <v>1555.01386</v>
      </c>
      <c r="D47" s="156">
        <f>1555013.36/1000</f>
        <v>1555.0133600000001</v>
      </c>
      <c r="E47" s="156">
        <f>I47+K47+M47+O47+Q47+S47+U47+W47+Y47+AA47+AC47+AE47</f>
        <v>1553.9290699999999</v>
      </c>
      <c r="F47" s="129">
        <f>E47/B47</f>
        <v>0.99930239206999727</v>
      </c>
      <c r="G47" s="130">
        <f>E47/C47</f>
        <v>0.99930239206999727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56">
        <f>(536225+0.5)/1000</f>
        <v>536.22550000000001</v>
      </c>
      <c r="S47" s="156">
        <f>536225.71/1000</f>
        <v>536.22570999999994</v>
      </c>
      <c r="T47" s="181">
        <f>507472.75/1000</f>
        <v>507.47275000000002</v>
      </c>
      <c r="U47" s="156">
        <f>507472.74/1000</f>
        <v>507.47273999999999</v>
      </c>
      <c r="V47" s="181">
        <f>511315.61/1000</f>
        <v>511.31560999999999</v>
      </c>
      <c r="W47" s="156">
        <f>510230.62/1000</f>
        <v>510.23061999999999</v>
      </c>
      <c r="X47" s="180"/>
      <c r="Y47" s="156"/>
      <c r="Z47" s="180"/>
      <c r="AA47" s="180"/>
      <c r="AB47" s="180"/>
      <c r="AC47" s="180"/>
      <c r="AD47" s="180"/>
      <c r="AE47" s="182"/>
      <c r="AF47" s="265"/>
    </row>
    <row r="48" spans="1:34" s="111" customFormat="1" ht="86.25" customHeight="1" x14ac:dyDescent="0.25">
      <c r="A48" s="125" t="s">
        <v>133</v>
      </c>
      <c r="B48" s="154"/>
      <c r="C48" s="154"/>
      <c r="D48" s="154"/>
      <c r="E48" s="154"/>
      <c r="F48" s="124"/>
      <c r="G48" s="124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7"/>
      <c r="Z48" s="177"/>
      <c r="AA48" s="177"/>
      <c r="AB48" s="177"/>
      <c r="AC48" s="177"/>
      <c r="AD48" s="177"/>
      <c r="AE48" s="183"/>
      <c r="AF48" s="265"/>
    </row>
    <row r="49" spans="1:35" s="111" customFormat="1" ht="27" customHeight="1" x14ac:dyDescent="0.25">
      <c r="A49" s="114" t="s">
        <v>103</v>
      </c>
      <c r="B49" s="155">
        <f>H49+J49+L49+N49+P49+R49+T49+V49+X49+Z49+AB49+AD49</f>
        <v>272.7869</v>
      </c>
      <c r="C49" s="156">
        <f>H49+J49+L49+N49+P49+R49+T49+V49+X49+Z49+AB49+AD49</f>
        <v>272.7869</v>
      </c>
      <c r="D49" s="156">
        <f>272786.64/1000</f>
        <v>272.78664000000003</v>
      </c>
      <c r="E49" s="156">
        <f>I49+K49+M49+O49+Q49+S49+U49+W49+Y49+AA49+AC49+AE49</f>
        <v>140.54103000000001</v>
      </c>
      <c r="F49" s="129">
        <f>E49/B49</f>
        <v>0.51520446912956597</v>
      </c>
      <c r="G49" s="129">
        <f>E49/C49</f>
        <v>0.51520446912956597</v>
      </c>
      <c r="H49" s="156"/>
      <c r="I49" s="156"/>
      <c r="J49" s="156"/>
      <c r="K49" s="156"/>
      <c r="L49" s="156">
        <f>46507/1000</f>
        <v>46.506999999999998</v>
      </c>
      <c r="M49" s="156"/>
      <c r="N49" s="156">
        <v>0</v>
      </c>
      <c r="O49" s="156">
        <f>22848/1000</f>
        <v>22.847999999999999</v>
      </c>
      <c r="P49" s="156">
        <v>0</v>
      </c>
      <c r="Q49" s="156">
        <v>0</v>
      </c>
      <c r="R49" s="156">
        <f>79117.5/1000</f>
        <v>79.117500000000007</v>
      </c>
      <c r="S49" s="156">
        <f>60554/1000</f>
        <v>60.554000000000002</v>
      </c>
      <c r="T49" s="156">
        <f>75521.25/1000</f>
        <v>75.521249999999995</v>
      </c>
      <c r="U49" s="156">
        <f>39231.63/1000</f>
        <v>39.231629999999996</v>
      </c>
      <c r="V49" s="156">
        <f>71641.15/1000</f>
        <v>71.641149999999996</v>
      </c>
      <c r="W49" s="156">
        <f>17907.4/1000</f>
        <v>17.907400000000003</v>
      </c>
      <c r="X49" s="156"/>
      <c r="Y49" s="180"/>
      <c r="Z49" s="180"/>
      <c r="AA49" s="180"/>
      <c r="AB49" s="180"/>
      <c r="AC49" s="180"/>
      <c r="AD49" s="180"/>
      <c r="AE49" s="182"/>
      <c r="AF49" s="266"/>
    </row>
    <row r="50" spans="1:35" s="37" customFormat="1" ht="75.75" customHeight="1" x14ac:dyDescent="0.25">
      <c r="A50" s="119" t="s">
        <v>115</v>
      </c>
      <c r="B50" s="148"/>
      <c r="C50" s="149"/>
      <c r="D50" s="149"/>
      <c r="E50" s="150"/>
      <c r="F50" s="120"/>
      <c r="G50" s="12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70"/>
      <c r="AE50" s="171"/>
      <c r="AF50" s="228" t="s">
        <v>163</v>
      </c>
      <c r="AH50" s="38"/>
    </row>
    <row r="51" spans="1:35" s="37" customFormat="1" x14ac:dyDescent="0.25">
      <c r="A51" s="69" t="s">
        <v>25</v>
      </c>
      <c r="B51" s="151">
        <f>B54</f>
        <v>0</v>
      </c>
      <c r="C51" s="151">
        <f t="shared" ref="C51:AE51" si="21">C54</f>
        <v>0</v>
      </c>
      <c r="D51" s="151">
        <f t="shared" si="21"/>
        <v>0</v>
      </c>
      <c r="E51" s="151">
        <f t="shared" si="21"/>
        <v>0</v>
      </c>
      <c r="F51" s="70">
        <f t="shared" si="21"/>
        <v>0</v>
      </c>
      <c r="G51" s="70">
        <f t="shared" si="21"/>
        <v>0</v>
      </c>
      <c r="H51" s="172">
        <f>H54</f>
        <v>0</v>
      </c>
      <c r="I51" s="172">
        <f>I54</f>
        <v>0</v>
      </c>
      <c r="J51" s="172">
        <f>J54</f>
        <v>0</v>
      </c>
      <c r="K51" s="172">
        <f t="shared" si="21"/>
        <v>0</v>
      </c>
      <c r="L51" s="172">
        <f t="shared" si="21"/>
        <v>0</v>
      </c>
      <c r="M51" s="172">
        <f t="shared" si="21"/>
        <v>0</v>
      </c>
      <c r="N51" s="172">
        <f t="shared" si="21"/>
        <v>0</v>
      </c>
      <c r="O51" s="172">
        <f t="shared" si="21"/>
        <v>0</v>
      </c>
      <c r="P51" s="172">
        <f t="shared" si="21"/>
        <v>0</v>
      </c>
      <c r="Q51" s="172">
        <f t="shared" si="21"/>
        <v>0</v>
      </c>
      <c r="R51" s="172">
        <f t="shared" si="21"/>
        <v>0</v>
      </c>
      <c r="S51" s="172">
        <f t="shared" si="21"/>
        <v>0</v>
      </c>
      <c r="T51" s="172">
        <f t="shared" si="21"/>
        <v>0</v>
      </c>
      <c r="U51" s="172">
        <f t="shared" si="21"/>
        <v>0</v>
      </c>
      <c r="V51" s="172">
        <f t="shared" si="21"/>
        <v>0</v>
      </c>
      <c r="W51" s="172">
        <f t="shared" si="21"/>
        <v>0</v>
      </c>
      <c r="X51" s="172">
        <f t="shared" si="21"/>
        <v>0</v>
      </c>
      <c r="Y51" s="172">
        <f t="shared" si="21"/>
        <v>0</v>
      </c>
      <c r="Z51" s="172">
        <f t="shared" si="21"/>
        <v>0</v>
      </c>
      <c r="AA51" s="172">
        <f t="shared" si="21"/>
        <v>0</v>
      </c>
      <c r="AB51" s="172">
        <f t="shared" si="21"/>
        <v>0</v>
      </c>
      <c r="AC51" s="172">
        <f t="shared" si="21"/>
        <v>0</v>
      </c>
      <c r="AD51" s="172">
        <f t="shared" si="21"/>
        <v>0</v>
      </c>
      <c r="AE51" s="184">
        <f t="shared" si="21"/>
        <v>0</v>
      </c>
      <c r="AF51" s="41"/>
      <c r="AH51" s="38"/>
    </row>
    <row r="52" spans="1:35" s="37" customFormat="1" x14ac:dyDescent="0.25">
      <c r="A52" s="103" t="s">
        <v>152</v>
      </c>
      <c r="B52" s="161"/>
      <c r="C52" s="161"/>
      <c r="D52" s="161"/>
      <c r="E52" s="161"/>
      <c r="F52" s="81" t="e">
        <f>E52/B52</f>
        <v>#DIV/0!</v>
      </c>
      <c r="G52" s="81" t="e">
        <f>E52/C52</f>
        <v>#DIV/0!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41"/>
      <c r="AH52" s="38"/>
    </row>
    <row r="53" spans="1:35" s="37" customFormat="1" x14ac:dyDescent="0.25">
      <c r="A53" s="72" t="s">
        <v>102</v>
      </c>
      <c r="B53" s="144">
        <f>H53+J53+L53+N53+P53+R53+T53+V53+X53+Z53+AB53+AD53</f>
        <v>0</v>
      </c>
      <c r="C53" s="145"/>
      <c r="D53" s="145"/>
      <c r="E53" s="145"/>
      <c r="F53" s="75" t="e">
        <f>E53/B53</f>
        <v>#DIV/0!</v>
      </c>
      <c r="G53" s="75" t="e">
        <f>E53/C53</f>
        <v>#DIV/0!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74"/>
      <c r="AH53" s="38"/>
    </row>
    <row r="54" spans="1:35" s="34" customFormat="1" ht="23.25" customHeight="1" x14ac:dyDescent="0.25">
      <c r="A54" s="76" t="s">
        <v>103</v>
      </c>
      <c r="B54" s="146">
        <f>H54+J54+L54+N54+P54+R54+T54+V54+X54+Z54+AB54+AD54</f>
        <v>0</v>
      </c>
      <c r="C54" s="147">
        <f>H54</f>
        <v>0</v>
      </c>
      <c r="D54" s="147">
        <f>H54+J54+L54+N54+P54+R54+T54+V54</f>
        <v>0</v>
      </c>
      <c r="E54" s="147">
        <f>I54+K54+M54+O54+Q54+S54+U54+W54+Y54+AA54+AC54+AE54</f>
        <v>0</v>
      </c>
      <c r="F54" s="79"/>
      <c r="G54" s="79"/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78"/>
      <c r="AH54" s="35"/>
    </row>
    <row r="55" spans="1:35" s="37" customFormat="1" ht="33" x14ac:dyDescent="0.25">
      <c r="A55" s="218" t="s">
        <v>153</v>
      </c>
      <c r="B55" s="161"/>
      <c r="C55" s="162"/>
      <c r="D55" s="162"/>
      <c r="E55" s="162"/>
      <c r="F55" s="81" t="e">
        <f>E55/B55</f>
        <v>#DIV/0!</v>
      </c>
      <c r="G55" s="81" t="e">
        <f>E55/C55</f>
        <v>#DIV/0!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78"/>
      <c r="AH55" s="38"/>
    </row>
    <row r="56" spans="1:35" s="37" customFormat="1" x14ac:dyDescent="0.25">
      <c r="A56" s="103" t="s">
        <v>154</v>
      </c>
      <c r="B56" s="161"/>
      <c r="C56" s="162"/>
      <c r="D56" s="162"/>
      <c r="E56" s="162"/>
      <c r="F56" s="81" t="e">
        <f>E56/B56</f>
        <v>#DIV/0!</v>
      </c>
      <c r="G56" s="81" t="e">
        <f>E56/C56</f>
        <v>#DIV/0!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78"/>
      <c r="AH56" s="38"/>
    </row>
    <row r="57" spans="1:35" s="37" customFormat="1" ht="32.25" customHeight="1" x14ac:dyDescent="0.25">
      <c r="A57" s="226" t="s">
        <v>130</v>
      </c>
      <c r="B57" s="157">
        <f>B58+B59</f>
        <v>14933.185070000001</v>
      </c>
      <c r="C57" s="157">
        <f>C58+C59</f>
        <v>14933.18507</v>
      </c>
      <c r="D57" s="157">
        <f>D58+D59</f>
        <v>14933.159199999998</v>
      </c>
      <c r="E57" s="157">
        <f t="shared" ref="E57:AC57" si="22">E58+E59</f>
        <v>14412.23991</v>
      </c>
      <c r="F57" s="139">
        <f>E57/B57</f>
        <v>0.96511493311319407</v>
      </c>
      <c r="G57" s="139">
        <f>E57/C57</f>
        <v>0.96511493311319418</v>
      </c>
      <c r="H57" s="157">
        <f>H58+H59</f>
        <v>0</v>
      </c>
      <c r="I57" s="157">
        <f t="shared" si="22"/>
        <v>0</v>
      </c>
      <c r="J57" s="157">
        <f>J58+J59</f>
        <v>359.69200000000001</v>
      </c>
      <c r="K57" s="157">
        <f t="shared" si="22"/>
        <v>358.92627999999996</v>
      </c>
      <c r="L57" s="157">
        <f>L58+L59</f>
        <v>895.05599999999993</v>
      </c>
      <c r="M57" s="157">
        <f t="shared" si="22"/>
        <v>294.90539000000001</v>
      </c>
      <c r="N57" s="157">
        <f>N58+N59</f>
        <v>260.97399999999999</v>
      </c>
      <c r="O57" s="157">
        <f t="shared" si="22"/>
        <v>582.44119999999998</v>
      </c>
      <c r="P57" s="157">
        <f>P58+P59</f>
        <v>261.71899999999999</v>
      </c>
      <c r="Q57" s="157">
        <f t="shared" si="22"/>
        <v>262.83276000000001</v>
      </c>
      <c r="R57" s="157">
        <f>R58+R59</f>
        <v>4290.7169999999996</v>
      </c>
      <c r="S57" s="157">
        <f t="shared" si="22"/>
        <v>4205.4225399999996</v>
      </c>
      <c r="T57" s="157">
        <f>T58+T59</f>
        <v>4053.4330000000004</v>
      </c>
      <c r="U57" s="157">
        <f t="shared" si="22"/>
        <v>3946.06513</v>
      </c>
      <c r="V57" s="157">
        <f>V58+V59</f>
        <v>4031.1713</v>
      </c>
      <c r="W57" s="157">
        <f t="shared" si="22"/>
        <v>3579.7699200000002</v>
      </c>
      <c r="X57" s="157">
        <f>X58+X59</f>
        <v>261.71799999999996</v>
      </c>
      <c r="Y57" s="157">
        <f t="shared" si="22"/>
        <v>669.35077999999999</v>
      </c>
      <c r="Z57" s="157">
        <f>Z58+Z59</f>
        <v>257.28399999999999</v>
      </c>
      <c r="AA57" s="157">
        <f t="shared" si="22"/>
        <v>259.12013999999999</v>
      </c>
      <c r="AB57" s="157">
        <f>AB58+AB59</f>
        <v>261.42077</v>
      </c>
      <c r="AC57" s="157">
        <f t="shared" si="22"/>
        <v>224.56835000000001</v>
      </c>
      <c r="AD57" s="157">
        <f>AD58+AD59</f>
        <v>0</v>
      </c>
      <c r="AE57" s="157">
        <f>AE58+AE59</f>
        <v>28.837420000000002</v>
      </c>
      <c r="AF57" s="138"/>
      <c r="AG57" s="107"/>
      <c r="AH57" s="38"/>
    </row>
    <row r="58" spans="1:35" s="37" customFormat="1" ht="24" customHeight="1" x14ac:dyDescent="0.25">
      <c r="A58" s="72" t="s">
        <v>102</v>
      </c>
      <c r="B58" s="144">
        <f>B19+B35</f>
        <v>1903.5843100000002</v>
      </c>
      <c r="C58" s="144">
        <f>C19+C35</f>
        <v>1903.5843100000002</v>
      </c>
      <c r="D58" s="144">
        <f>D19+D35</f>
        <v>1903.5592000000001</v>
      </c>
      <c r="E58" s="144">
        <f>E19+E35</f>
        <v>1903.5591999999999</v>
      </c>
      <c r="F58" s="131">
        <f>E58/B58</f>
        <v>0.9999868090948909</v>
      </c>
      <c r="G58" s="131">
        <f>E58/C58</f>
        <v>0.9999868090948909</v>
      </c>
      <c r="H58" s="144">
        <f t="shared" ref="H58:AE58" si="23">H19+H35</f>
        <v>0</v>
      </c>
      <c r="I58" s="144">
        <f t="shared" si="23"/>
        <v>0</v>
      </c>
      <c r="J58" s="144">
        <f t="shared" si="23"/>
        <v>0</v>
      </c>
      <c r="K58" s="144">
        <f t="shared" si="23"/>
        <v>0</v>
      </c>
      <c r="L58" s="144">
        <f t="shared" si="23"/>
        <v>45.475000000000001</v>
      </c>
      <c r="M58" s="144">
        <f t="shared" si="23"/>
        <v>0</v>
      </c>
      <c r="N58" s="144">
        <f t="shared" si="23"/>
        <v>48.15</v>
      </c>
      <c r="O58" s="144">
        <f t="shared" si="23"/>
        <v>93.491249999999994</v>
      </c>
      <c r="P58" s="144">
        <f t="shared" si="23"/>
        <v>40.125</v>
      </c>
      <c r="Q58" s="144">
        <f t="shared" si="23"/>
        <v>40.003410000000002</v>
      </c>
      <c r="R58" s="144">
        <f t="shared" si="23"/>
        <v>489.52499999999998</v>
      </c>
      <c r="S58" s="144">
        <f t="shared" si="23"/>
        <v>489.52499999999998</v>
      </c>
      <c r="T58" s="144">
        <f t="shared" si="23"/>
        <v>72.275000000000006</v>
      </c>
      <c r="U58" s="144">
        <f t="shared" si="23"/>
        <v>59.835329999999999</v>
      </c>
      <c r="V58" s="144">
        <f t="shared" si="23"/>
        <v>1047.7645400000001</v>
      </c>
      <c r="W58" s="144">
        <f t="shared" si="23"/>
        <v>525.81216000000006</v>
      </c>
      <c r="X58" s="144">
        <f t="shared" si="23"/>
        <v>40.125</v>
      </c>
      <c r="Y58" s="144">
        <f t="shared" si="23"/>
        <v>574.51705000000004</v>
      </c>
      <c r="Z58" s="144">
        <f t="shared" si="23"/>
        <v>40.125</v>
      </c>
      <c r="AA58" s="144">
        <f t="shared" si="23"/>
        <v>40.125</v>
      </c>
      <c r="AB58" s="144">
        <f t="shared" si="23"/>
        <v>80.019770000000008</v>
      </c>
      <c r="AC58" s="144">
        <f t="shared" si="23"/>
        <v>40.125</v>
      </c>
      <c r="AD58" s="144">
        <f t="shared" si="23"/>
        <v>0</v>
      </c>
      <c r="AE58" s="144">
        <f t="shared" si="23"/>
        <v>40.125</v>
      </c>
      <c r="AF58" s="73"/>
      <c r="AG58" s="107"/>
      <c r="AH58" s="38"/>
    </row>
    <row r="59" spans="1:35" s="37" customFormat="1" ht="24" customHeight="1" x14ac:dyDescent="0.25">
      <c r="A59" s="76" t="s">
        <v>103</v>
      </c>
      <c r="B59" s="146">
        <f>B20+B36+B43+B54</f>
        <v>13029.600760000001</v>
      </c>
      <c r="C59" s="146">
        <f>C20+C36+C43+C54</f>
        <v>13029.600759999999</v>
      </c>
      <c r="D59" s="146">
        <f>D20+D36+D43+D54</f>
        <v>13029.599999999999</v>
      </c>
      <c r="E59" s="146">
        <f>E20+E36+E43+E54</f>
        <v>12508.680710000001</v>
      </c>
      <c r="F59" s="132">
        <f>E59/B59</f>
        <v>0.96002026005284902</v>
      </c>
      <c r="G59" s="132">
        <f>E59/C59</f>
        <v>0.96002026005284913</v>
      </c>
      <c r="H59" s="146">
        <f t="shared" ref="H59:AE59" si="24">H20+H36+H43+H54</f>
        <v>0</v>
      </c>
      <c r="I59" s="146">
        <f t="shared" si="24"/>
        <v>0</v>
      </c>
      <c r="J59" s="146">
        <f t="shared" si="24"/>
        <v>359.69200000000001</v>
      </c>
      <c r="K59" s="146">
        <f t="shared" si="24"/>
        <v>358.92627999999996</v>
      </c>
      <c r="L59" s="146">
        <f t="shared" si="24"/>
        <v>849.5809999999999</v>
      </c>
      <c r="M59" s="146">
        <f t="shared" si="24"/>
        <v>294.90539000000001</v>
      </c>
      <c r="N59" s="146">
        <f t="shared" si="24"/>
        <v>212.82400000000001</v>
      </c>
      <c r="O59" s="146">
        <f t="shared" si="24"/>
        <v>488.94995</v>
      </c>
      <c r="P59" s="146">
        <f t="shared" si="24"/>
        <v>221.59399999999999</v>
      </c>
      <c r="Q59" s="146">
        <f t="shared" si="24"/>
        <v>222.82935000000001</v>
      </c>
      <c r="R59" s="146">
        <f t="shared" si="24"/>
        <v>3801.192</v>
      </c>
      <c r="S59" s="146">
        <f t="shared" si="24"/>
        <v>3715.8975399999999</v>
      </c>
      <c r="T59" s="146">
        <f t="shared" si="24"/>
        <v>3981.1580000000004</v>
      </c>
      <c r="U59" s="146">
        <f t="shared" si="24"/>
        <v>3886.2298000000001</v>
      </c>
      <c r="V59" s="146">
        <f t="shared" si="24"/>
        <v>2983.4067599999998</v>
      </c>
      <c r="W59" s="146">
        <f t="shared" si="24"/>
        <v>3053.9577600000002</v>
      </c>
      <c r="X59" s="146">
        <f t="shared" si="24"/>
        <v>221.59299999999999</v>
      </c>
      <c r="Y59" s="146">
        <f t="shared" si="24"/>
        <v>94.833730000000003</v>
      </c>
      <c r="Z59" s="146">
        <f t="shared" si="24"/>
        <v>217.15899999999999</v>
      </c>
      <c r="AA59" s="146">
        <f t="shared" si="24"/>
        <v>218.99514000000002</v>
      </c>
      <c r="AB59" s="146">
        <f t="shared" si="24"/>
        <v>181.40100000000001</v>
      </c>
      <c r="AC59" s="146">
        <f t="shared" si="24"/>
        <v>184.44335000000001</v>
      </c>
      <c r="AD59" s="146">
        <f t="shared" si="24"/>
        <v>0</v>
      </c>
      <c r="AE59" s="146">
        <f t="shared" si="24"/>
        <v>-11.28758</v>
      </c>
      <c r="AF59" s="77"/>
      <c r="AG59" s="107"/>
      <c r="AH59" s="38"/>
    </row>
    <row r="60" spans="1:35" s="37" customFormat="1" ht="90.75" customHeight="1" x14ac:dyDescent="0.25">
      <c r="A60" s="119" t="s">
        <v>128</v>
      </c>
      <c r="B60" s="148"/>
      <c r="C60" s="149"/>
      <c r="D60" s="149"/>
      <c r="E60" s="150"/>
      <c r="F60" s="120"/>
      <c r="G60" s="12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70"/>
      <c r="AE60" s="171"/>
      <c r="AF60" s="121"/>
      <c r="AH60" s="38"/>
    </row>
    <row r="61" spans="1:35" s="37" customFormat="1" ht="26.25" customHeight="1" x14ac:dyDescent="0.25">
      <c r="A61" s="98" t="s">
        <v>129</v>
      </c>
      <c r="B61" s="158"/>
      <c r="C61" s="159"/>
      <c r="D61" s="159"/>
      <c r="E61" s="159"/>
      <c r="F61" s="99"/>
      <c r="G61" s="9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85"/>
      <c r="AF61" s="267" t="s">
        <v>166</v>
      </c>
      <c r="AG61" s="286"/>
      <c r="AH61" s="287"/>
      <c r="AI61" s="287"/>
    </row>
    <row r="62" spans="1:35" s="37" customFormat="1" ht="39" customHeight="1" x14ac:dyDescent="0.25">
      <c r="A62" s="100" t="s">
        <v>121</v>
      </c>
      <c r="B62" s="152"/>
      <c r="C62" s="152"/>
      <c r="D62" s="152"/>
      <c r="E62" s="152"/>
      <c r="F62" s="95"/>
      <c r="G62" s="95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265"/>
      <c r="AH62" s="38"/>
    </row>
    <row r="63" spans="1:35" s="37" customFormat="1" ht="15.75" customHeight="1" x14ac:dyDescent="0.25">
      <c r="A63" s="101" t="s">
        <v>122</v>
      </c>
      <c r="B63" s="160">
        <f>B65+B64</f>
        <v>3200.4620000000004</v>
      </c>
      <c r="C63" s="160">
        <f>C65+C64</f>
        <v>3200.4620000000004</v>
      </c>
      <c r="D63" s="160">
        <f>D65+D64</f>
        <v>2052.0699500000001</v>
      </c>
      <c r="E63" s="160">
        <f>E65+E64</f>
        <v>2052.0702799999999</v>
      </c>
      <c r="F63" s="102">
        <f>E63/B63</f>
        <v>0.64117939222524734</v>
      </c>
      <c r="G63" s="102">
        <f>E63/C63</f>
        <v>0.64117939222524734</v>
      </c>
      <c r="H63" s="167">
        <f>H65+H64</f>
        <v>0</v>
      </c>
      <c r="I63" s="167">
        <f>I65+I64</f>
        <v>0</v>
      </c>
      <c r="J63" s="167">
        <f t="shared" ref="J63:AD63" si="25">J65+J64</f>
        <v>0</v>
      </c>
      <c r="K63" s="167">
        <f t="shared" si="25"/>
        <v>0</v>
      </c>
      <c r="L63" s="167">
        <f t="shared" si="25"/>
        <v>0</v>
      </c>
      <c r="M63" s="167">
        <f t="shared" si="25"/>
        <v>0</v>
      </c>
      <c r="N63" s="167">
        <f t="shared" si="25"/>
        <v>77.293999999999997</v>
      </c>
      <c r="O63" s="167">
        <f t="shared" si="25"/>
        <v>8.5229999999999997</v>
      </c>
      <c r="P63" s="167">
        <f>P65+P64</f>
        <v>348.49199999999996</v>
      </c>
      <c r="Q63" s="167">
        <f t="shared" si="25"/>
        <v>123.92856</v>
      </c>
      <c r="R63" s="167">
        <f>R65+R64</f>
        <v>442.19200000000001</v>
      </c>
      <c r="S63" s="167">
        <f>S65+S64</f>
        <v>138.76177000000001</v>
      </c>
      <c r="T63" s="167">
        <f t="shared" si="25"/>
        <v>751.14400000000001</v>
      </c>
      <c r="U63" s="167">
        <f t="shared" si="25"/>
        <v>151.94372000000001</v>
      </c>
      <c r="V63" s="167">
        <f t="shared" si="25"/>
        <v>681.19200000000001</v>
      </c>
      <c r="W63" s="167">
        <f t="shared" si="25"/>
        <v>541.04747999999995</v>
      </c>
      <c r="X63" s="167">
        <f t="shared" si="25"/>
        <v>496.428</v>
      </c>
      <c r="Y63" s="167">
        <f t="shared" si="25"/>
        <v>476.18293999999992</v>
      </c>
      <c r="Z63" s="167">
        <f t="shared" si="25"/>
        <v>329.15699999999998</v>
      </c>
      <c r="AA63" s="167">
        <f t="shared" si="25"/>
        <v>241.42412000000002</v>
      </c>
      <c r="AB63" s="167">
        <f t="shared" si="25"/>
        <v>74.563000000000002</v>
      </c>
      <c r="AC63" s="167">
        <f t="shared" si="25"/>
        <v>305.67785000000003</v>
      </c>
      <c r="AD63" s="167">
        <f t="shared" si="25"/>
        <v>0</v>
      </c>
      <c r="AE63" s="167">
        <f>AE65+AE64</f>
        <v>64.580839999999995</v>
      </c>
      <c r="AF63" s="265"/>
      <c r="AH63" s="38"/>
    </row>
    <row r="64" spans="1:35" s="37" customFormat="1" ht="21.75" customHeight="1" x14ac:dyDescent="0.25">
      <c r="A64" s="103" t="s">
        <v>102</v>
      </c>
      <c r="B64" s="161">
        <f>H64+J64+L64+N64+P64+R64+T64+V64+X64+Z64+AB64+AD64</f>
        <v>509.80400000000003</v>
      </c>
      <c r="C64" s="162">
        <f>H64+J64+L64+N64+P64+R64+T64+V64+X64+Z64+AB64+AD64</f>
        <v>509.80400000000003</v>
      </c>
      <c r="D64" s="162">
        <f>504969.06/1000</f>
        <v>504.96906000000001</v>
      </c>
      <c r="E64" s="162">
        <f>I64+K64+M64+O64+Q64+S64+U64+W64+Y64+AA64+AC64+AE64</f>
        <v>504.96938999999998</v>
      </c>
      <c r="F64" s="81">
        <f>E64/B64</f>
        <v>0.9905167279974264</v>
      </c>
      <c r="G64" s="81">
        <f>E64/C64</f>
        <v>0.9905167279974264</v>
      </c>
      <c r="H64" s="118"/>
      <c r="I64" s="118"/>
      <c r="J64" s="118"/>
      <c r="K64" s="118"/>
      <c r="L64" s="118"/>
      <c r="M64" s="118"/>
      <c r="N64" s="118"/>
      <c r="O64" s="118"/>
      <c r="P64" s="118">
        <f>84340/1000</f>
        <v>84.34</v>
      </c>
      <c r="Q64" s="118">
        <f>21841.36/1000</f>
        <v>21.841360000000002</v>
      </c>
      <c r="R64" s="118">
        <f>84300/1000</f>
        <v>84.3</v>
      </c>
      <c r="S64" s="118">
        <f>39340/1000</f>
        <v>39.340000000000003</v>
      </c>
      <c r="T64" s="118">
        <f>185460/1000</f>
        <v>185.46</v>
      </c>
      <c r="U64" s="118">
        <f>25290/1000</f>
        <v>25.29</v>
      </c>
      <c r="V64" s="118">
        <f>(168600-12896)/1000</f>
        <v>155.70400000000001</v>
      </c>
      <c r="W64" s="118">
        <f>86132.61/1000</f>
        <v>86.13261</v>
      </c>
      <c r="X64" s="118">
        <f>(168600-168600)/1000</f>
        <v>0</v>
      </c>
      <c r="Y64" s="118">
        <f>85354.03/1000</f>
        <v>85.354029999999995</v>
      </c>
      <c r="Z64" s="118">
        <f>(134880-134880)/1000</f>
        <v>0</v>
      </c>
      <c r="AA64" s="118">
        <f>141631.33/1000+4.11</f>
        <v>145.74133</v>
      </c>
      <c r="AB64" s="118">
        <f>(33720-33720)/1000</f>
        <v>0</v>
      </c>
      <c r="AC64" s="118">
        <f>49847.06/1000</f>
        <v>49.847059999999999</v>
      </c>
      <c r="AD64" s="118"/>
      <c r="AE64" s="118">
        <f>51423/1000</f>
        <v>51.423000000000002</v>
      </c>
      <c r="AF64" s="265"/>
      <c r="AH64" s="38"/>
    </row>
    <row r="65" spans="1:36" s="37" customFormat="1" ht="22.5" customHeight="1" x14ac:dyDescent="0.25">
      <c r="A65" s="103" t="s">
        <v>103</v>
      </c>
      <c r="B65" s="161">
        <f>H65+J65+L65+N65+P65+R65+T65+V65+X65+Z65+AB65+AD65</f>
        <v>2690.6580000000004</v>
      </c>
      <c r="C65" s="162">
        <f>H65+J65+L65+N65+P65+R65+T65+V65+X65+Z65+AB65+AD65</f>
        <v>2690.6580000000004</v>
      </c>
      <c r="D65" s="162">
        <f>E65</f>
        <v>1547.1008900000002</v>
      </c>
      <c r="E65" s="162">
        <f>I65+K65+M65+O65+Q65+S65+U65+W65+Y65+AA65+AC65+AE65</f>
        <v>1547.1008900000002</v>
      </c>
      <c r="F65" s="81">
        <f>E65/B65</f>
        <v>0.57498979431796982</v>
      </c>
      <c r="G65" s="81">
        <f>E65/C65</f>
        <v>0.57498979431796982</v>
      </c>
      <c r="H65" s="118"/>
      <c r="I65" s="118"/>
      <c r="J65" s="118"/>
      <c r="K65" s="118"/>
      <c r="L65" s="118"/>
      <c r="M65" s="118"/>
      <c r="N65" s="118">
        <f>77294/1000</f>
        <v>77.293999999999997</v>
      </c>
      <c r="O65" s="118">
        <f>8523/1000</f>
        <v>8.5229999999999997</v>
      </c>
      <c r="P65" s="118">
        <f>264152/1000</f>
        <v>264.15199999999999</v>
      </c>
      <c r="Q65" s="118">
        <f>102087.2/1000</f>
        <v>102.0872</v>
      </c>
      <c r="R65" s="118">
        <f>357892/1000</f>
        <v>357.892</v>
      </c>
      <c r="S65" s="118">
        <f>99421.77/1000</f>
        <v>99.421770000000009</v>
      </c>
      <c r="T65" s="118">
        <f>565684/1000</f>
        <v>565.68399999999997</v>
      </c>
      <c r="U65" s="118">
        <f>126653.72/1000</f>
        <v>126.65372000000001</v>
      </c>
      <c r="V65" s="118">
        <f>525488/1000</f>
        <v>525.48800000000006</v>
      </c>
      <c r="W65" s="118">
        <f>454914.87/1000</f>
        <v>454.91487000000001</v>
      </c>
      <c r="X65" s="118">
        <f>496428/1000</f>
        <v>496.428</v>
      </c>
      <c r="Y65" s="118">
        <f>390828.91/1000</f>
        <v>390.82890999999995</v>
      </c>
      <c r="Z65" s="118">
        <f>329157/1000</f>
        <v>329.15699999999998</v>
      </c>
      <c r="AA65" s="118">
        <f>95682.79/1000</f>
        <v>95.682789999999997</v>
      </c>
      <c r="AB65" s="118">
        <f>74563/1000</f>
        <v>74.563000000000002</v>
      </c>
      <c r="AC65" s="118">
        <f>255830.79/1000</f>
        <v>255.83079000000001</v>
      </c>
      <c r="AD65" s="118"/>
      <c r="AE65" s="118">
        <f>13157.84/1000</f>
        <v>13.15784</v>
      </c>
      <c r="AF65" s="265"/>
      <c r="AH65" s="38"/>
    </row>
    <row r="66" spans="1:36" s="37" customFormat="1" ht="102.75" customHeight="1" x14ac:dyDescent="0.25">
      <c r="A66" s="100" t="s">
        <v>123</v>
      </c>
      <c r="B66" s="152"/>
      <c r="C66" s="152"/>
      <c r="D66" s="152"/>
      <c r="E66" s="152"/>
      <c r="F66" s="95"/>
      <c r="G66" s="95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265"/>
      <c r="AH66" s="105"/>
      <c r="AI66" s="106"/>
    </row>
    <row r="67" spans="1:36" s="37" customFormat="1" ht="22.5" customHeight="1" x14ac:dyDescent="0.25">
      <c r="A67" s="103" t="s">
        <v>103</v>
      </c>
      <c r="B67" s="161">
        <f>H67+J67+L67+N67+P67+R67+T67+V67+X67+Z67+AB67+AD67</f>
        <v>236.642</v>
      </c>
      <c r="C67" s="162">
        <f>H67+J67+L67+N67+P67+R67+T67+V67+X67+Z67+AB67+AD67</f>
        <v>236.642</v>
      </c>
      <c r="D67" s="163">
        <f>E67</f>
        <v>100.99299999999999</v>
      </c>
      <c r="E67" s="162">
        <f>I67+K67+M67+O67+Q67+S67+U67+W67+Y67+AA67+AC67+AE67</f>
        <v>100.99299999999999</v>
      </c>
      <c r="F67" s="81">
        <f>E67/B67</f>
        <v>0.42677546673878686</v>
      </c>
      <c r="G67" s="81">
        <f>E67/C67</f>
        <v>0.42677546673878686</v>
      </c>
      <c r="H67" s="118"/>
      <c r="I67" s="118"/>
      <c r="J67" s="118"/>
      <c r="K67" s="118"/>
      <c r="L67" s="118">
        <f>58142/1000</f>
        <v>58.142000000000003</v>
      </c>
      <c r="M67" s="118"/>
      <c r="N67" s="118">
        <f>17500/1000</f>
        <v>17.5</v>
      </c>
      <c r="O67" s="118">
        <f>9789/1000</f>
        <v>9.7889999999999997</v>
      </c>
      <c r="P67" s="118">
        <f>17500/1000</f>
        <v>17.5</v>
      </c>
      <c r="Q67" s="118"/>
      <c r="R67" s="118">
        <f>38500/1000</f>
        <v>38.5</v>
      </c>
      <c r="S67" s="118">
        <f>6712/1000</f>
        <v>6.7119999999999997</v>
      </c>
      <c r="T67" s="118">
        <f>35000/1000</f>
        <v>35</v>
      </c>
      <c r="U67" s="118">
        <f>33132/1000</f>
        <v>33.131999999999998</v>
      </c>
      <c r="V67" s="118">
        <f>35000/1000</f>
        <v>35</v>
      </c>
      <c r="W67" s="118">
        <f>37708/1000</f>
        <v>37.707999999999998</v>
      </c>
      <c r="X67" s="118">
        <f>28000/1000</f>
        <v>28</v>
      </c>
      <c r="Y67" s="118">
        <f>10.207</f>
        <v>10.207000000000001</v>
      </c>
      <c r="Z67" s="118">
        <f>7000/1000</f>
        <v>7</v>
      </c>
      <c r="AA67" s="118"/>
      <c r="AB67" s="118"/>
      <c r="AC67" s="118">
        <f>3445/1000</f>
        <v>3.4449999999999998</v>
      </c>
      <c r="AD67" s="118"/>
      <c r="AE67" s="118"/>
      <c r="AF67" s="265"/>
      <c r="AH67" s="105"/>
      <c r="AI67" s="106"/>
    </row>
    <row r="68" spans="1:36" s="37" customFormat="1" ht="22.5" customHeight="1" x14ac:dyDescent="0.25">
      <c r="A68" s="126" t="s">
        <v>125</v>
      </c>
      <c r="B68" s="160">
        <f>B70+B69</f>
        <v>3437.1040000000003</v>
      </c>
      <c r="C68" s="160">
        <f>C70+C69</f>
        <v>3437.1040000000003</v>
      </c>
      <c r="D68" s="160">
        <f>D70+D69</f>
        <v>2153.06295</v>
      </c>
      <c r="E68" s="160">
        <f>E70+E69</f>
        <v>2153.0632800000003</v>
      </c>
      <c r="F68" s="102">
        <f>E68/B68</f>
        <v>0.6264178447902653</v>
      </c>
      <c r="G68" s="102">
        <f>E68/C68</f>
        <v>0.6264178447902653</v>
      </c>
      <c r="H68" s="167">
        <f>H70+H69</f>
        <v>0</v>
      </c>
      <c r="I68" s="167">
        <f>I70+I69</f>
        <v>0</v>
      </c>
      <c r="J68" s="167">
        <f t="shared" ref="J68:AB68" si="26">J70+J69</f>
        <v>0</v>
      </c>
      <c r="K68" s="167">
        <f t="shared" si="26"/>
        <v>0</v>
      </c>
      <c r="L68" s="167">
        <f>L70+L69</f>
        <v>58.142000000000003</v>
      </c>
      <c r="M68" s="167">
        <f>M70+M69</f>
        <v>0</v>
      </c>
      <c r="N68" s="167">
        <f>N70+N69</f>
        <v>94.793999999999997</v>
      </c>
      <c r="O68" s="167">
        <f>O70+O69</f>
        <v>18.311999999999998</v>
      </c>
      <c r="P68" s="167">
        <f>P70+P69</f>
        <v>365.99199999999996</v>
      </c>
      <c r="Q68" s="167">
        <f t="shared" si="26"/>
        <v>123.92856</v>
      </c>
      <c r="R68" s="167">
        <f t="shared" si="26"/>
        <v>480.69200000000001</v>
      </c>
      <c r="S68" s="167">
        <f t="shared" si="26"/>
        <v>145.47377</v>
      </c>
      <c r="T68" s="167">
        <f t="shared" si="26"/>
        <v>786.14400000000001</v>
      </c>
      <c r="U68" s="167">
        <f t="shared" si="26"/>
        <v>185.07571999999999</v>
      </c>
      <c r="V68" s="167">
        <f t="shared" si="26"/>
        <v>716.19200000000001</v>
      </c>
      <c r="W68" s="167">
        <f t="shared" si="26"/>
        <v>578.75548000000003</v>
      </c>
      <c r="X68" s="167">
        <f t="shared" si="26"/>
        <v>524.428</v>
      </c>
      <c r="Y68" s="167">
        <f t="shared" si="26"/>
        <v>486.38993999999991</v>
      </c>
      <c r="Z68" s="167">
        <f t="shared" si="26"/>
        <v>336.15699999999998</v>
      </c>
      <c r="AA68" s="167">
        <f>AA70+AA69</f>
        <v>241.42412000000002</v>
      </c>
      <c r="AB68" s="167">
        <f t="shared" si="26"/>
        <v>74.563000000000002</v>
      </c>
      <c r="AC68" s="167">
        <f>AC70+AC69</f>
        <v>309.12285000000003</v>
      </c>
      <c r="AD68" s="167">
        <f>AD70+AD69</f>
        <v>0</v>
      </c>
      <c r="AE68" s="167">
        <f>AE70+AE69</f>
        <v>64.580839999999995</v>
      </c>
      <c r="AF68" s="265"/>
      <c r="AG68" s="107"/>
      <c r="AH68" s="38"/>
    </row>
    <row r="69" spans="1:36" s="37" customFormat="1" ht="22.5" customHeight="1" x14ac:dyDescent="0.25">
      <c r="A69" s="103" t="s">
        <v>102</v>
      </c>
      <c r="B69" s="161">
        <f>H69+J69+L69+N69+P69+R69+T69+V69+X69+Z69+AB69+AD69</f>
        <v>509.80400000000003</v>
      </c>
      <c r="C69" s="162">
        <f>C64</f>
        <v>509.80400000000003</v>
      </c>
      <c r="D69" s="162">
        <f>D64</f>
        <v>504.96906000000001</v>
      </c>
      <c r="E69" s="162">
        <f>E64</f>
        <v>504.96938999999998</v>
      </c>
      <c r="F69" s="81">
        <f>E69/B69</f>
        <v>0.9905167279974264</v>
      </c>
      <c r="G69" s="81">
        <f>E69/C69</f>
        <v>0.9905167279974264</v>
      </c>
      <c r="H69" s="116">
        <f>H64</f>
        <v>0</v>
      </c>
      <c r="I69" s="116">
        <f t="shared" ref="I69:AE69" si="27">I64</f>
        <v>0</v>
      </c>
      <c r="J69" s="116">
        <f t="shared" si="27"/>
        <v>0</v>
      </c>
      <c r="K69" s="116">
        <f t="shared" si="27"/>
        <v>0</v>
      </c>
      <c r="L69" s="116">
        <f t="shared" si="27"/>
        <v>0</v>
      </c>
      <c r="M69" s="116">
        <f t="shared" si="27"/>
        <v>0</v>
      </c>
      <c r="N69" s="116">
        <f t="shared" si="27"/>
        <v>0</v>
      </c>
      <c r="O69" s="116">
        <f t="shared" si="27"/>
        <v>0</v>
      </c>
      <c r="P69" s="116">
        <f t="shared" si="27"/>
        <v>84.34</v>
      </c>
      <c r="Q69" s="116">
        <f t="shared" si="27"/>
        <v>21.841360000000002</v>
      </c>
      <c r="R69" s="116">
        <f t="shared" si="27"/>
        <v>84.3</v>
      </c>
      <c r="S69" s="116">
        <f t="shared" si="27"/>
        <v>39.340000000000003</v>
      </c>
      <c r="T69" s="116">
        <f t="shared" si="27"/>
        <v>185.46</v>
      </c>
      <c r="U69" s="116">
        <f t="shared" si="27"/>
        <v>25.29</v>
      </c>
      <c r="V69" s="116">
        <f t="shared" si="27"/>
        <v>155.70400000000001</v>
      </c>
      <c r="W69" s="116">
        <f t="shared" si="27"/>
        <v>86.13261</v>
      </c>
      <c r="X69" s="116">
        <f t="shared" si="27"/>
        <v>0</v>
      </c>
      <c r="Y69" s="116">
        <f t="shared" si="27"/>
        <v>85.354029999999995</v>
      </c>
      <c r="Z69" s="116">
        <f t="shared" si="27"/>
        <v>0</v>
      </c>
      <c r="AA69" s="116">
        <f t="shared" si="27"/>
        <v>145.74133</v>
      </c>
      <c r="AB69" s="116">
        <f t="shared" si="27"/>
        <v>0</v>
      </c>
      <c r="AC69" s="116">
        <f t="shared" si="27"/>
        <v>49.847059999999999</v>
      </c>
      <c r="AD69" s="116">
        <f t="shared" si="27"/>
        <v>0</v>
      </c>
      <c r="AE69" s="116">
        <f t="shared" si="27"/>
        <v>51.423000000000002</v>
      </c>
      <c r="AF69" s="265"/>
      <c r="AG69" s="108"/>
      <c r="AH69" s="38"/>
    </row>
    <row r="70" spans="1:36" s="37" customFormat="1" ht="22.5" customHeight="1" x14ac:dyDescent="0.25">
      <c r="A70" s="103" t="s">
        <v>103</v>
      </c>
      <c r="B70" s="161">
        <f>B65+B67</f>
        <v>2927.3</v>
      </c>
      <c r="C70" s="162">
        <f>C65+C67</f>
        <v>2927.3</v>
      </c>
      <c r="D70" s="162">
        <f>D65+D67</f>
        <v>1648.0938900000001</v>
      </c>
      <c r="E70" s="162">
        <f>E65+E67</f>
        <v>1648.0938900000001</v>
      </c>
      <c r="F70" s="81">
        <f>E70/B70</f>
        <v>0.56300819526526147</v>
      </c>
      <c r="G70" s="81">
        <f>E70/C70</f>
        <v>0.56300819526526147</v>
      </c>
      <c r="H70" s="116">
        <f>H65+H67</f>
        <v>0</v>
      </c>
      <c r="I70" s="116">
        <f t="shared" ref="I70:AE70" si="28">I65+I67</f>
        <v>0</v>
      </c>
      <c r="J70" s="116">
        <f t="shared" si="28"/>
        <v>0</v>
      </c>
      <c r="K70" s="116">
        <f t="shared" si="28"/>
        <v>0</v>
      </c>
      <c r="L70" s="116">
        <f t="shared" si="28"/>
        <v>58.142000000000003</v>
      </c>
      <c r="M70" s="116">
        <f t="shared" si="28"/>
        <v>0</v>
      </c>
      <c r="N70" s="116">
        <f t="shared" si="28"/>
        <v>94.793999999999997</v>
      </c>
      <c r="O70" s="116">
        <f t="shared" si="28"/>
        <v>18.311999999999998</v>
      </c>
      <c r="P70" s="116">
        <f t="shared" si="28"/>
        <v>281.65199999999999</v>
      </c>
      <c r="Q70" s="116">
        <f t="shared" si="28"/>
        <v>102.0872</v>
      </c>
      <c r="R70" s="116">
        <f t="shared" si="28"/>
        <v>396.392</v>
      </c>
      <c r="S70" s="116">
        <f t="shared" si="28"/>
        <v>106.13377000000001</v>
      </c>
      <c r="T70" s="116">
        <f t="shared" si="28"/>
        <v>600.68399999999997</v>
      </c>
      <c r="U70" s="116">
        <f t="shared" si="28"/>
        <v>159.78572</v>
      </c>
      <c r="V70" s="116">
        <f t="shared" si="28"/>
        <v>560.48800000000006</v>
      </c>
      <c r="W70" s="116">
        <f t="shared" si="28"/>
        <v>492.62287000000003</v>
      </c>
      <c r="X70" s="116">
        <f t="shared" si="28"/>
        <v>524.428</v>
      </c>
      <c r="Y70" s="116">
        <f t="shared" si="28"/>
        <v>401.03590999999994</v>
      </c>
      <c r="Z70" s="116">
        <f t="shared" si="28"/>
        <v>336.15699999999998</v>
      </c>
      <c r="AA70" s="116">
        <f t="shared" si="28"/>
        <v>95.682789999999997</v>
      </c>
      <c r="AB70" s="116">
        <f t="shared" si="28"/>
        <v>74.563000000000002</v>
      </c>
      <c r="AC70" s="116">
        <f t="shared" si="28"/>
        <v>259.27579000000003</v>
      </c>
      <c r="AD70" s="116">
        <f t="shared" si="28"/>
        <v>0</v>
      </c>
      <c r="AE70" s="116">
        <f t="shared" si="28"/>
        <v>13.15784</v>
      </c>
      <c r="AF70" s="266"/>
      <c r="AG70" s="108"/>
      <c r="AH70" s="38"/>
    </row>
    <row r="71" spans="1:36" s="37" customFormat="1" ht="22.5" customHeight="1" x14ac:dyDescent="0.25">
      <c r="A71" s="109" t="s">
        <v>127</v>
      </c>
      <c r="B71" s="164"/>
      <c r="C71" s="164"/>
      <c r="D71" s="164"/>
      <c r="E71" s="164"/>
      <c r="F71" s="104"/>
      <c r="G71" s="104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267" t="s">
        <v>167</v>
      </c>
      <c r="AH71" s="38"/>
    </row>
    <row r="72" spans="1:36" s="37" customFormat="1" ht="39" customHeight="1" x14ac:dyDescent="0.25">
      <c r="A72" s="100" t="s">
        <v>121</v>
      </c>
      <c r="B72" s="152"/>
      <c r="C72" s="152"/>
      <c r="D72" s="152"/>
      <c r="E72" s="152"/>
      <c r="F72" s="95"/>
      <c r="G72" s="95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265"/>
      <c r="AH72" s="38"/>
    </row>
    <row r="73" spans="1:36" s="37" customFormat="1" ht="15.75" customHeight="1" x14ac:dyDescent="0.25">
      <c r="A73" s="101" t="s">
        <v>122</v>
      </c>
      <c r="B73" s="160">
        <f>B75+B74</f>
        <v>692.77957000000004</v>
      </c>
      <c r="C73" s="160">
        <f>C75+C74</f>
        <v>692.77957000000004</v>
      </c>
      <c r="D73" s="160">
        <f>D75+D74</f>
        <v>579.02754000000004</v>
      </c>
      <c r="E73" s="160">
        <f>E75+E74</f>
        <v>579.02826000000005</v>
      </c>
      <c r="F73" s="102">
        <f>E73/B73</f>
        <v>0.83580446807921893</v>
      </c>
      <c r="G73" s="102">
        <f>E73/C73</f>
        <v>0.83580446807921893</v>
      </c>
      <c r="H73" s="167">
        <f>H75+H74</f>
        <v>24.82</v>
      </c>
      <c r="I73" s="167">
        <f>I75+I74</f>
        <v>0</v>
      </c>
      <c r="J73" s="167">
        <f>J75+J74</f>
        <v>102.59998999999999</v>
      </c>
      <c r="K73" s="167">
        <f t="shared" ref="K73:M73" si="29">K75+K74</f>
        <v>0</v>
      </c>
      <c r="L73" s="167">
        <f t="shared" si="29"/>
        <v>49.069990000000004</v>
      </c>
      <c r="M73" s="167">
        <f t="shared" si="29"/>
        <v>42.598260000000003</v>
      </c>
      <c r="N73" s="167">
        <f>N75+N74</f>
        <v>90.760019999999997</v>
      </c>
      <c r="O73" s="167">
        <f>O75+O74</f>
        <v>108.85</v>
      </c>
      <c r="P73" s="167">
        <f>P75+P74</f>
        <v>48.639960000000002</v>
      </c>
      <c r="Q73" s="167">
        <f t="shared" ref="Q73:AB73" si="30">Q75+Q74</f>
        <v>28.490000000000002</v>
      </c>
      <c r="R73" s="167">
        <f t="shared" si="30"/>
        <v>91.247900000000016</v>
      </c>
      <c r="S73" s="167">
        <f t="shared" si="30"/>
        <v>103.07</v>
      </c>
      <c r="T73" s="167">
        <f t="shared" si="30"/>
        <v>25.83</v>
      </c>
      <c r="U73" s="167">
        <f t="shared" si="30"/>
        <v>28.61</v>
      </c>
      <c r="V73" s="167">
        <f t="shared" si="30"/>
        <v>10.23484</v>
      </c>
      <c r="W73" s="167">
        <f t="shared" si="30"/>
        <v>2.2899999999999991</v>
      </c>
      <c r="X73" s="167">
        <f t="shared" si="30"/>
        <v>35.19999</v>
      </c>
      <c r="Y73" s="167">
        <f t="shared" si="30"/>
        <v>18.510000000000002</v>
      </c>
      <c r="Z73" s="167">
        <f t="shared" si="30"/>
        <v>90.60999000000001</v>
      </c>
      <c r="AA73" s="167">
        <f t="shared" si="30"/>
        <v>63.7</v>
      </c>
      <c r="AB73" s="167">
        <f t="shared" si="30"/>
        <v>48.591419999999999</v>
      </c>
      <c r="AC73" s="167">
        <f>AC75+AC74</f>
        <v>73.47999999999999</v>
      </c>
      <c r="AD73" s="167">
        <f>AD75+AD74</f>
        <v>75.175470000000004</v>
      </c>
      <c r="AE73" s="167">
        <f>AE75+AE74</f>
        <v>109.42999999999999</v>
      </c>
      <c r="AF73" s="265"/>
      <c r="AH73" s="38"/>
    </row>
    <row r="74" spans="1:36" s="37" customFormat="1" ht="21.75" customHeight="1" x14ac:dyDescent="0.25">
      <c r="A74" s="103" t="s">
        <v>102</v>
      </c>
      <c r="B74" s="161">
        <f>H74+J74+L74+N74+P74+R74+T74+V74+X74+Z74+AB74+AD74</f>
        <v>139.49669000000003</v>
      </c>
      <c r="C74" s="162">
        <f>H74+J74+L74+N74+P74+R74+T74+V74+X74+Z74+AB74+AD74</f>
        <v>139.49669000000003</v>
      </c>
      <c r="D74" s="162">
        <f>133329.28/1000</f>
        <v>133.32928000000001</v>
      </c>
      <c r="E74" s="162">
        <f>I74+K74+M74+O74+Q74+S74+U74+W74+Y74+AA74+AC74+AE74</f>
        <v>133.32999999999998</v>
      </c>
      <c r="F74" s="81">
        <f>E74/B74</f>
        <v>0.95579328799844609</v>
      </c>
      <c r="G74" s="81">
        <f>E74/C74</f>
        <v>0.95579328799844609</v>
      </c>
      <c r="H74" s="118"/>
      <c r="I74" s="118"/>
      <c r="J74" s="118">
        <f>16859.99/1000</f>
        <v>16.859990000000003</v>
      </c>
      <c r="K74" s="118"/>
      <c r="L74" s="118">
        <f>16859.99/1000</f>
        <v>16.859990000000003</v>
      </c>
      <c r="M74" s="118"/>
      <c r="N74" s="118">
        <f>16860.02/1000</f>
        <v>16.860019999999999</v>
      </c>
      <c r="O74" s="118">
        <v>35.86</v>
      </c>
      <c r="P74" s="118">
        <f>16859.96/1000</f>
        <v>16.859959999999997</v>
      </c>
      <c r="Q74" s="118">
        <v>2.57</v>
      </c>
      <c r="R74" s="118">
        <f>16859.99/1000</f>
        <v>16.859990000000003</v>
      </c>
      <c r="S74" s="118">
        <v>26.74</v>
      </c>
      <c r="T74" s="118">
        <v>0</v>
      </c>
      <c r="U74" s="118">
        <v>-9.8800000000000008</v>
      </c>
      <c r="V74" s="118">
        <v>0</v>
      </c>
      <c r="W74" s="118">
        <v>16.77</v>
      </c>
      <c r="X74" s="118">
        <f>16859.99/1000</f>
        <v>16.859990000000003</v>
      </c>
      <c r="Y74" s="118"/>
      <c r="Z74" s="118">
        <f>16859.99/1000</f>
        <v>16.859990000000003</v>
      </c>
      <c r="AA74" s="118"/>
      <c r="AB74" s="118">
        <f>16859.99/1000</f>
        <v>16.859990000000003</v>
      </c>
      <c r="AC74" s="118">
        <v>32.909999999999997</v>
      </c>
      <c r="AD74" s="118">
        <f>4616.77/1000</f>
        <v>4.6167700000000007</v>
      </c>
      <c r="AE74" s="118">
        <f>28.36</f>
        <v>28.36</v>
      </c>
      <c r="AF74" s="265"/>
      <c r="AH74" s="38"/>
    </row>
    <row r="75" spans="1:36" s="37" customFormat="1" ht="22.5" customHeight="1" x14ac:dyDescent="0.25">
      <c r="A75" s="103" t="s">
        <v>103</v>
      </c>
      <c r="B75" s="161">
        <f>H75+J75+L75+N75+P75+R75+T75+V75+X75+Z75+AB75+AD75</f>
        <v>553.28287999999998</v>
      </c>
      <c r="C75" s="162">
        <f>H75+J75+L75+N75+P75+R75+T75+V75+X75+Z75+AB75+AD75</f>
        <v>553.28287999999998</v>
      </c>
      <c r="D75" s="162">
        <f>E75</f>
        <v>445.69826</v>
      </c>
      <c r="E75" s="162">
        <f>I75+K75+M75+O75+Q75+S75+U75+W75+Y75+AA75+AC75+AE75</f>
        <v>445.69826</v>
      </c>
      <c r="F75" s="81">
        <f>E75/B75</f>
        <v>0.80555223396755027</v>
      </c>
      <c r="G75" s="81">
        <f>E75/C75</f>
        <v>0.80555223396755027</v>
      </c>
      <c r="H75" s="118">
        <v>24.82</v>
      </c>
      <c r="I75" s="118"/>
      <c r="J75" s="118">
        <v>85.74</v>
      </c>
      <c r="K75" s="118"/>
      <c r="L75" s="118">
        <v>32.21</v>
      </c>
      <c r="M75" s="118">
        <f>42598.26/1000</f>
        <v>42.598260000000003</v>
      </c>
      <c r="N75" s="118">
        <v>73.900000000000006</v>
      </c>
      <c r="O75" s="118">
        <v>72.989999999999995</v>
      </c>
      <c r="P75" s="118">
        <v>31.78</v>
      </c>
      <c r="Q75" s="118">
        <v>25.92</v>
      </c>
      <c r="R75" s="118">
        <v>74.387910000000005</v>
      </c>
      <c r="S75" s="118">
        <v>76.33</v>
      </c>
      <c r="T75" s="118">
        <v>25.83</v>
      </c>
      <c r="U75" s="118">
        <v>38.49</v>
      </c>
      <c r="V75" s="118">
        <v>10.23484</v>
      </c>
      <c r="W75" s="118">
        <v>-14.48</v>
      </c>
      <c r="X75" s="118">
        <v>18.34</v>
      </c>
      <c r="Y75" s="118">
        <v>18.510000000000002</v>
      </c>
      <c r="Z75" s="118">
        <v>73.75</v>
      </c>
      <c r="AA75" s="118">
        <v>63.7</v>
      </c>
      <c r="AB75" s="118">
        <v>31.73143</v>
      </c>
      <c r="AC75" s="118">
        <v>40.57</v>
      </c>
      <c r="AD75" s="118">
        <f>70.5587</f>
        <v>70.558700000000002</v>
      </c>
      <c r="AE75" s="118">
        <v>81.069999999999993</v>
      </c>
      <c r="AF75" s="265"/>
      <c r="AH75" s="38"/>
    </row>
    <row r="76" spans="1:36" s="37" customFormat="1" ht="132" customHeight="1" x14ac:dyDescent="0.25">
      <c r="A76" s="100" t="s">
        <v>123</v>
      </c>
      <c r="B76" s="152"/>
      <c r="C76" s="152"/>
      <c r="D76" s="152"/>
      <c r="E76" s="152"/>
      <c r="F76" s="95"/>
      <c r="G76" s="95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265"/>
      <c r="AH76" s="105"/>
      <c r="AI76" s="106"/>
    </row>
    <row r="77" spans="1:36" s="37" customFormat="1" ht="22.5" customHeight="1" x14ac:dyDescent="0.25">
      <c r="A77" s="103" t="s">
        <v>103</v>
      </c>
      <c r="B77" s="161">
        <f>H77+J77+L77+N77+P77+R77+T77+V77+X77+Z77+AB77+AD77</f>
        <v>38.92</v>
      </c>
      <c r="C77" s="162">
        <f>H77+J77+L77+N77+P77+R77+T77+V77+X77+Z77+AB77+AD77</f>
        <v>38.92</v>
      </c>
      <c r="D77" s="163">
        <f>E77</f>
        <v>18.032</v>
      </c>
      <c r="E77" s="162">
        <f>I77+K77+M77+O77+Q77+S77+U77+W77+Y77+AA77+AC77+AE77</f>
        <v>18.032</v>
      </c>
      <c r="F77" s="81">
        <f>E77/B77</f>
        <v>0.46330935251798561</v>
      </c>
      <c r="G77" s="81">
        <f>E77/C77</f>
        <v>0.46330935251798561</v>
      </c>
      <c r="H77" s="118">
        <v>8.2799999999999994</v>
      </c>
      <c r="I77" s="118"/>
      <c r="J77" s="118">
        <v>2.92</v>
      </c>
      <c r="K77" s="118"/>
      <c r="L77" s="118">
        <v>8.2799999999999994</v>
      </c>
      <c r="M77" s="118">
        <f>8282/1000</f>
        <v>8.282</v>
      </c>
      <c r="N77" s="118"/>
      <c r="O77" s="118"/>
      <c r="P77" s="118">
        <v>8.2799999999999994</v>
      </c>
      <c r="Q77" s="118">
        <v>5.61</v>
      </c>
      <c r="R77" s="118"/>
      <c r="S77" s="118"/>
      <c r="T77" s="118">
        <v>8.2799999999999994</v>
      </c>
      <c r="U77" s="118"/>
      <c r="V77" s="118"/>
      <c r="W77" s="118"/>
      <c r="X77" s="118">
        <v>2.88</v>
      </c>
      <c r="Y77" s="118">
        <v>4.1399999999999997</v>
      </c>
      <c r="Z77" s="118"/>
      <c r="AA77" s="118"/>
      <c r="AB77" s="118"/>
      <c r="AC77" s="118"/>
      <c r="AD77" s="118"/>
      <c r="AE77" s="118"/>
      <c r="AF77" s="265"/>
      <c r="AH77" s="105"/>
      <c r="AI77" s="106"/>
    </row>
    <row r="78" spans="1:36" s="37" customFormat="1" ht="22.5" customHeight="1" x14ac:dyDescent="0.25">
      <c r="A78" s="126" t="s">
        <v>131</v>
      </c>
      <c r="B78" s="160">
        <f>B79+B80</f>
        <v>731.69956999999999</v>
      </c>
      <c r="C78" s="160">
        <f t="shared" ref="C78:AE78" si="31">C79+C80</f>
        <v>731.69956999999999</v>
      </c>
      <c r="D78" s="160">
        <f t="shared" si="31"/>
        <v>597.05953999999997</v>
      </c>
      <c r="E78" s="160">
        <f t="shared" si="31"/>
        <v>597.06025999999997</v>
      </c>
      <c r="F78" s="80">
        <f t="shared" ref="F78:F79" si="32">E78/B78</f>
        <v>0.81599099477398895</v>
      </c>
      <c r="G78" s="80">
        <f>E78/C78</f>
        <v>0.81599099477398895</v>
      </c>
      <c r="H78" s="160">
        <f t="shared" si="31"/>
        <v>33.1</v>
      </c>
      <c r="I78" s="160">
        <f t="shared" si="31"/>
        <v>0</v>
      </c>
      <c r="J78" s="160">
        <f t="shared" si="31"/>
        <v>105.51999000000001</v>
      </c>
      <c r="K78" s="160">
        <f t="shared" si="31"/>
        <v>0</v>
      </c>
      <c r="L78" s="160">
        <f t="shared" si="31"/>
        <v>57.349990000000005</v>
      </c>
      <c r="M78" s="160">
        <f t="shared" si="31"/>
        <v>50.880260000000007</v>
      </c>
      <c r="N78" s="160">
        <f t="shared" si="31"/>
        <v>90.760019999999997</v>
      </c>
      <c r="O78" s="160">
        <f t="shared" si="31"/>
        <v>108.85</v>
      </c>
      <c r="P78" s="160">
        <f t="shared" si="31"/>
        <v>56.919960000000003</v>
      </c>
      <c r="Q78" s="160">
        <f t="shared" si="31"/>
        <v>34.1</v>
      </c>
      <c r="R78" s="160">
        <f t="shared" si="31"/>
        <v>91.247900000000016</v>
      </c>
      <c r="S78" s="160">
        <f t="shared" si="31"/>
        <v>103.07</v>
      </c>
      <c r="T78" s="160">
        <f t="shared" si="31"/>
        <v>34.11</v>
      </c>
      <c r="U78" s="160">
        <f t="shared" si="31"/>
        <v>28.61</v>
      </c>
      <c r="V78" s="160">
        <f t="shared" si="31"/>
        <v>10.23484</v>
      </c>
      <c r="W78" s="160">
        <f t="shared" si="31"/>
        <v>2.2899999999999991</v>
      </c>
      <c r="X78" s="160">
        <f t="shared" si="31"/>
        <v>38.079990000000002</v>
      </c>
      <c r="Y78" s="160">
        <f t="shared" si="31"/>
        <v>22.650000000000002</v>
      </c>
      <c r="Z78" s="160">
        <f t="shared" si="31"/>
        <v>90.60999000000001</v>
      </c>
      <c r="AA78" s="160">
        <f t="shared" si="31"/>
        <v>63.7</v>
      </c>
      <c r="AB78" s="160">
        <f t="shared" si="31"/>
        <v>48.591419999999999</v>
      </c>
      <c r="AC78" s="160">
        <f t="shared" si="31"/>
        <v>73.47999999999999</v>
      </c>
      <c r="AD78" s="160">
        <f t="shared" si="31"/>
        <v>75.175470000000004</v>
      </c>
      <c r="AE78" s="160">
        <f t="shared" si="31"/>
        <v>109.42999999999999</v>
      </c>
      <c r="AF78" s="265"/>
      <c r="AG78" s="107"/>
      <c r="AH78" s="38"/>
    </row>
    <row r="79" spans="1:36" s="37" customFormat="1" ht="22.5" customHeight="1" x14ac:dyDescent="0.25">
      <c r="A79" s="103" t="s">
        <v>102</v>
      </c>
      <c r="B79" s="161">
        <f>B74</f>
        <v>139.49669000000003</v>
      </c>
      <c r="C79" s="161">
        <f t="shared" ref="C79:AE79" si="33">C74</f>
        <v>139.49669000000003</v>
      </c>
      <c r="D79" s="161">
        <f t="shared" si="33"/>
        <v>133.32928000000001</v>
      </c>
      <c r="E79" s="161">
        <f t="shared" si="33"/>
        <v>133.32999999999998</v>
      </c>
      <c r="F79" s="81">
        <f t="shared" si="32"/>
        <v>0.95579328799844609</v>
      </c>
      <c r="G79" s="81">
        <f t="shared" ref="G79:G80" si="34">E79/C79</f>
        <v>0.95579328799844609</v>
      </c>
      <c r="H79" s="161">
        <f t="shared" si="33"/>
        <v>0</v>
      </c>
      <c r="I79" s="161">
        <f t="shared" si="33"/>
        <v>0</v>
      </c>
      <c r="J79" s="161">
        <f t="shared" si="33"/>
        <v>16.859990000000003</v>
      </c>
      <c r="K79" s="161">
        <f t="shared" si="33"/>
        <v>0</v>
      </c>
      <c r="L79" s="161">
        <f t="shared" si="33"/>
        <v>16.859990000000003</v>
      </c>
      <c r="M79" s="161">
        <f t="shared" si="33"/>
        <v>0</v>
      </c>
      <c r="N79" s="161">
        <f t="shared" si="33"/>
        <v>16.860019999999999</v>
      </c>
      <c r="O79" s="161">
        <f t="shared" si="33"/>
        <v>35.86</v>
      </c>
      <c r="P79" s="161">
        <f t="shared" si="33"/>
        <v>16.859959999999997</v>
      </c>
      <c r="Q79" s="161">
        <f t="shared" si="33"/>
        <v>2.57</v>
      </c>
      <c r="R79" s="161">
        <f t="shared" si="33"/>
        <v>16.859990000000003</v>
      </c>
      <c r="S79" s="161">
        <f t="shared" si="33"/>
        <v>26.74</v>
      </c>
      <c r="T79" s="161">
        <f t="shared" si="33"/>
        <v>0</v>
      </c>
      <c r="U79" s="161">
        <f t="shared" si="33"/>
        <v>-9.8800000000000008</v>
      </c>
      <c r="V79" s="161">
        <f t="shared" si="33"/>
        <v>0</v>
      </c>
      <c r="W79" s="161">
        <f t="shared" si="33"/>
        <v>16.77</v>
      </c>
      <c r="X79" s="161">
        <f t="shared" si="33"/>
        <v>16.859990000000003</v>
      </c>
      <c r="Y79" s="161">
        <f t="shared" si="33"/>
        <v>0</v>
      </c>
      <c r="Z79" s="161">
        <f t="shared" si="33"/>
        <v>16.859990000000003</v>
      </c>
      <c r="AA79" s="161">
        <f t="shared" si="33"/>
        <v>0</v>
      </c>
      <c r="AB79" s="161">
        <f t="shared" si="33"/>
        <v>16.859990000000003</v>
      </c>
      <c r="AC79" s="161">
        <f t="shared" si="33"/>
        <v>32.909999999999997</v>
      </c>
      <c r="AD79" s="161">
        <f t="shared" si="33"/>
        <v>4.6167700000000007</v>
      </c>
      <c r="AE79" s="161">
        <f t="shared" si="33"/>
        <v>28.36</v>
      </c>
      <c r="AF79" s="265"/>
      <c r="AG79" s="108"/>
      <c r="AH79" s="38"/>
    </row>
    <row r="80" spans="1:36" s="37" customFormat="1" ht="58.5" customHeight="1" x14ac:dyDescent="0.25">
      <c r="A80" s="103" t="s">
        <v>103</v>
      </c>
      <c r="B80" s="161">
        <f>B75+B77</f>
        <v>592.20287999999994</v>
      </c>
      <c r="C80" s="161">
        <f>C75+C77</f>
        <v>592.20287999999994</v>
      </c>
      <c r="D80" s="161">
        <f t="shared" ref="D80:AE80" si="35">D75+D77</f>
        <v>463.73025999999999</v>
      </c>
      <c r="E80" s="161">
        <f t="shared" si="35"/>
        <v>463.73025999999999</v>
      </c>
      <c r="F80" s="210">
        <f>E80/B80</f>
        <v>0.78305978518713049</v>
      </c>
      <c r="G80" s="210">
        <f t="shared" si="34"/>
        <v>0.78305978518713049</v>
      </c>
      <c r="H80" s="161">
        <f>H75+H77</f>
        <v>33.1</v>
      </c>
      <c r="I80" s="161">
        <f t="shared" si="35"/>
        <v>0</v>
      </c>
      <c r="J80" s="161">
        <f t="shared" si="35"/>
        <v>88.66</v>
      </c>
      <c r="K80" s="161">
        <f t="shared" si="35"/>
        <v>0</v>
      </c>
      <c r="L80" s="161">
        <f>L75+L77</f>
        <v>40.49</v>
      </c>
      <c r="M80" s="161">
        <f t="shared" si="35"/>
        <v>50.880260000000007</v>
      </c>
      <c r="N80" s="161">
        <f t="shared" si="35"/>
        <v>73.900000000000006</v>
      </c>
      <c r="O80" s="161">
        <f t="shared" si="35"/>
        <v>72.989999999999995</v>
      </c>
      <c r="P80" s="161">
        <f t="shared" si="35"/>
        <v>40.06</v>
      </c>
      <c r="Q80" s="161">
        <f t="shared" si="35"/>
        <v>31.53</v>
      </c>
      <c r="R80" s="161">
        <f t="shared" si="35"/>
        <v>74.387910000000005</v>
      </c>
      <c r="S80" s="161">
        <f t="shared" si="35"/>
        <v>76.33</v>
      </c>
      <c r="T80" s="161">
        <f t="shared" si="35"/>
        <v>34.11</v>
      </c>
      <c r="U80" s="161">
        <f t="shared" si="35"/>
        <v>38.49</v>
      </c>
      <c r="V80" s="161">
        <f t="shared" si="35"/>
        <v>10.23484</v>
      </c>
      <c r="W80" s="161">
        <f t="shared" si="35"/>
        <v>-14.48</v>
      </c>
      <c r="X80" s="161">
        <f t="shared" si="35"/>
        <v>21.22</v>
      </c>
      <c r="Y80" s="161">
        <f t="shared" si="35"/>
        <v>22.650000000000002</v>
      </c>
      <c r="Z80" s="161">
        <f t="shared" si="35"/>
        <v>73.75</v>
      </c>
      <c r="AA80" s="161">
        <f t="shared" si="35"/>
        <v>63.7</v>
      </c>
      <c r="AB80" s="161">
        <f t="shared" si="35"/>
        <v>31.73143</v>
      </c>
      <c r="AC80" s="161">
        <f t="shared" si="35"/>
        <v>40.57</v>
      </c>
      <c r="AD80" s="161">
        <f t="shared" si="35"/>
        <v>70.558700000000002</v>
      </c>
      <c r="AE80" s="161">
        <f t="shared" si="35"/>
        <v>81.069999999999993</v>
      </c>
      <c r="AF80" s="266"/>
      <c r="AG80" s="229"/>
      <c r="AH80" s="288"/>
      <c r="AI80" s="285"/>
      <c r="AJ80" s="285"/>
    </row>
    <row r="81" spans="1:36" s="37" customFormat="1" ht="22.5" customHeight="1" x14ac:dyDescent="0.25">
      <c r="A81" s="109" t="s">
        <v>142</v>
      </c>
      <c r="B81" s="164"/>
      <c r="C81" s="164"/>
      <c r="D81" s="164"/>
      <c r="E81" s="164"/>
      <c r="F81" s="104"/>
      <c r="G81" s="104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268" t="s">
        <v>168</v>
      </c>
      <c r="AH81" s="38"/>
    </row>
    <row r="82" spans="1:36" s="37" customFormat="1" ht="39" customHeight="1" x14ac:dyDescent="0.25">
      <c r="A82" s="100" t="s">
        <v>121</v>
      </c>
      <c r="B82" s="152"/>
      <c r="C82" s="152"/>
      <c r="D82" s="152"/>
      <c r="E82" s="152"/>
      <c r="F82" s="95"/>
      <c r="G82" s="95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269"/>
      <c r="AH82" s="38"/>
    </row>
    <row r="83" spans="1:36" s="37" customFormat="1" ht="15.75" customHeight="1" x14ac:dyDescent="0.25">
      <c r="A83" s="101" t="s">
        <v>122</v>
      </c>
      <c r="B83" s="160">
        <f>B85+B84</f>
        <v>605.54295999999999</v>
      </c>
      <c r="C83" s="160">
        <f>C85+C84</f>
        <v>605.54295999999999</v>
      </c>
      <c r="D83" s="160">
        <f>D85+D84</f>
        <v>456.27357000000001</v>
      </c>
      <c r="E83" s="160">
        <f>E85+E84</f>
        <v>456.27357000000001</v>
      </c>
      <c r="F83" s="102">
        <f>E83/B83</f>
        <v>0.75349496260347903</v>
      </c>
      <c r="G83" s="102">
        <f>E83/C83</f>
        <v>0.75349496260347903</v>
      </c>
      <c r="H83" s="167">
        <f>H85+H84</f>
        <v>0</v>
      </c>
      <c r="I83" s="167">
        <f>I85+I84</f>
        <v>0</v>
      </c>
      <c r="J83" s="167">
        <f>J85+J84</f>
        <v>0</v>
      </c>
      <c r="K83" s="167">
        <f t="shared" ref="K83:M83" si="36">K85+K84</f>
        <v>0</v>
      </c>
      <c r="L83" s="167">
        <f t="shared" si="36"/>
        <v>0</v>
      </c>
      <c r="M83" s="167">
        <f t="shared" si="36"/>
        <v>0</v>
      </c>
      <c r="N83" s="167">
        <f>N85+N84</f>
        <v>0</v>
      </c>
      <c r="O83" s="167">
        <f>O85+O84</f>
        <v>0</v>
      </c>
      <c r="P83" s="167">
        <f>P85+P84</f>
        <v>3.0748899999999999</v>
      </c>
      <c r="Q83" s="167">
        <f t="shared" ref="Q83:AB83" si="37">Q85+Q84</f>
        <v>3.0999999999999996</v>
      </c>
      <c r="R83" s="167">
        <f t="shared" si="37"/>
        <v>64.661169999999998</v>
      </c>
      <c r="S83" s="167">
        <f t="shared" si="37"/>
        <v>36.448</v>
      </c>
      <c r="T83" s="167">
        <f t="shared" si="37"/>
        <v>74.804110000000009</v>
      </c>
      <c r="U83" s="167">
        <f t="shared" si="37"/>
        <v>66.540000000000006</v>
      </c>
      <c r="V83" s="167">
        <f t="shared" si="37"/>
        <v>64.661169999999998</v>
      </c>
      <c r="W83" s="167">
        <f t="shared" si="37"/>
        <v>47.121549999999999</v>
      </c>
      <c r="X83" s="167">
        <f t="shared" si="37"/>
        <v>74.609049999999996</v>
      </c>
      <c r="Y83" s="167">
        <f t="shared" si="37"/>
        <v>88.268509999999992</v>
      </c>
      <c r="Z83" s="167">
        <f t="shared" si="37"/>
        <v>64.661169999999998</v>
      </c>
      <c r="AA83" s="167">
        <f t="shared" si="37"/>
        <v>49.844999999999999</v>
      </c>
      <c r="AB83" s="167">
        <f t="shared" si="37"/>
        <v>74.609049999999996</v>
      </c>
      <c r="AC83" s="167">
        <f>AC85+AC84</f>
        <v>77.502409999999998</v>
      </c>
      <c r="AD83" s="167">
        <f>AD85+AD84</f>
        <v>184.46235000000001</v>
      </c>
      <c r="AE83" s="167">
        <f>AE85+AE84</f>
        <v>87.448099999999997</v>
      </c>
      <c r="AF83" s="269"/>
      <c r="AH83" s="38"/>
    </row>
    <row r="84" spans="1:36" s="37" customFormat="1" ht="21.75" customHeight="1" x14ac:dyDescent="0.25">
      <c r="A84" s="103" t="s">
        <v>102</v>
      </c>
      <c r="B84" s="161">
        <f>H84+J84+L84+N84+P84+R84+T84+V84+X84+Z84+AB84+AD84</f>
        <v>129.97399999999999</v>
      </c>
      <c r="C84" s="162">
        <f>H84+J84+L84+N84+P84+R84+T84+V84+X84+Z84+AB84+AD84</f>
        <v>129.97399999999999</v>
      </c>
      <c r="D84" s="162">
        <f>E84</f>
        <v>84.288089999999997</v>
      </c>
      <c r="E84" s="162">
        <f>I84+K84+M84+O84+Q84+S84+U84+W84+Y84+AA84+AC84+AE84</f>
        <v>84.288089999999997</v>
      </c>
      <c r="F84" s="81">
        <f>E84/B84</f>
        <v>0.64849962300152342</v>
      </c>
      <c r="G84" s="81">
        <f>E84/C84</f>
        <v>0.64849962300152342</v>
      </c>
      <c r="H84" s="118"/>
      <c r="I84" s="118"/>
      <c r="J84" s="118"/>
      <c r="K84" s="118"/>
      <c r="L84" s="118"/>
      <c r="M84" s="118"/>
      <c r="N84" s="118"/>
      <c r="O84" s="118"/>
      <c r="P84" s="118">
        <v>0.79947000000000001</v>
      </c>
      <c r="Q84" s="118">
        <v>0.8</v>
      </c>
      <c r="R84" s="118">
        <v>16.86</v>
      </c>
      <c r="S84" s="118">
        <v>9.51</v>
      </c>
      <c r="T84" s="118">
        <v>16.86</v>
      </c>
      <c r="U84" s="118">
        <v>17.3</v>
      </c>
      <c r="V84" s="118">
        <v>16.86</v>
      </c>
      <c r="W84" s="118">
        <v>12.012790000000001</v>
      </c>
      <c r="X84" s="118">
        <v>16.86</v>
      </c>
      <c r="Y84" s="118">
        <v>10.96</v>
      </c>
      <c r="Z84" s="118">
        <v>16.86</v>
      </c>
      <c r="AA84" s="118"/>
      <c r="AB84" s="118">
        <v>16.86</v>
      </c>
      <c r="AC84" s="118">
        <f>17.21091</f>
        <v>17.210909999999998</v>
      </c>
      <c r="AD84" s="118">
        <f>49.78053-21.766</f>
        <v>28.014530000000001</v>
      </c>
      <c r="AE84" s="118">
        <f>16.49439</f>
        <v>16.494389999999999</v>
      </c>
      <c r="AF84" s="269"/>
      <c r="AH84" s="38"/>
    </row>
    <row r="85" spans="1:36" s="37" customFormat="1" ht="22.5" customHeight="1" x14ac:dyDescent="0.25">
      <c r="A85" s="103" t="s">
        <v>103</v>
      </c>
      <c r="B85" s="161">
        <f>H85+J85+L85+N85+P85+R85+T85+V85+X85+Z85+AB85+AD85</f>
        <v>475.56896000000006</v>
      </c>
      <c r="C85" s="162">
        <f>H85+J85+L85+N85+P85+R85+T85+V85+X85+Z85+AB85+AD85</f>
        <v>475.56896000000006</v>
      </c>
      <c r="D85" s="162">
        <f>E85</f>
        <v>371.98548</v>
      </c>
      <c r="E85" s="162">
        <f>I85+K85+M85+O85+Q85+S85+U85+W85+Y85+AA85+AC85+AE85</f>
        <v>371.98548</v>
      </c>
      <c r="F85" s="81">
        <f>E85/B85</f>
        <v>0.7821904104086187</v>
      </c>
      <c r="G85" s="81">
        <f>E85/C85</f>
        <v>0.7821904104086187</v>
      </c>
      <c r="H85" s="118"/>
      <c r="I85" s="118"/>
      <c r="J85" s="118"/>
      <c r="K85" s="118"/>
      <c r="L85" s="118"/>
      <c r="M85" s="118"/>
      <c r="N85" s="118"/>
      <c r="O85" s="118"/>
      <c r="P85" s="118">
        <f>2275.42/1000</f>
        <v>2.27542</v>
      </c>
      <c r="Q85" s="118">
        <v>2.2999999999999998</v>
      </c>
      <c r="R85" s="118">
        <v>47.801169999999999</v>
      </c>
      <c r="S85" s="118">
        <v>26.937999999999999</v>
      </c>
      <c r="T85" s="118">
        <v>57.944110000000002</v>
      </c>
      <c r="U85" s="118">
        <v>49.24</v>
      </c>
      <c r="V85" s="118">
        <v>47.801169999999999</v>
      </c>
      <c r="W85" s="118">
        <v>35.108759999999997</v>
      </c>
      <c r="X85" s="118">
        <v>57.749049999999997</v>
      </c>
      <c r="Y85" s="118">
        <v>77.308509999999998</v>
      </c>
      <c r="Z85" s="118">
        <v>47.801169999999999</v>
      </c>
      <c r="AA85" s="118">
        <f>49.845</f>
        <v>49.844999999999999</v>
      </c>
      <c r="AB85" s="118">
        <v>57.749049999999997</v>
      </c>
      <c r="AC85" s="118">
        <v>60.291499999999999</v>
      </c>
      <c r="AD85" s="118">
        <v>156.44782000000001</v>
      </c>
      <c r="AE85" s="118">
        <f>70.95371</f>
        <v>70.953710000000001</v>
      </c>
      <c r="AF85" s="269"/>
      <c r="AH85" s="38"/>
    </row>
    <row r="86" spans="1:36" s="37" customFormat="1" ht="102.75" customHeight="1" x14ac:dyDescent="0.25">
      <c r="A86" s="100" t="s">
        <v>123</v>
      </c>
      <c r="B86" s="152"/>
      <c r="C86" s="152"/>
      <c r="D86" s="152"/>
      <c r="E86" s="152"/>
      <c r="F86" s="95"/>
      <c r="G86" s="95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269"/>
      <c r="AH86" s="105"/>
      <c r="AI86" s="106"/>
    </row>
    <row r="87" spans="1:36" s="37" customFormat="1" ht="22.5" customHeight="1" x14ac:dyDescent="0.25">
      <c r="A87" s="103" t="s">
        <v>103</v>
      </c>
      <c r="B87" s="161">
        <f>H87+J87+L87+N87+P87+R87+T87+V87+X87+Z87+AB87+AD87</f>
        <v>35.467999999999996</v>
      </c>
      <c r="C87" s="162">
        <f>H87+J87+L87+N87+P87+R87+T87+V87+X87+Z87+AB87+AD87</f>
        <v>35.467999999999996</v>
      </c>
      <c r="D87" s="163">
        <f>E87</f>
        <v>21.487829999999999</v>
      </c>
      <c r="E87" s="162">
        <f>I87+K87+M87+O87+Q87+S87+U87+W87+Y87+AA87+AC87+AE87</f>
        <v>21.487829999999999</v>
      </c>
      <c r="F87" s="81">
        <f>E87/B87</f>
        <v>0.60583709259050411</v>
      </c>
      <c r="G87" s="81">
        <f>E87/C87</f>
        <v>0.60583709259050411</v>
      </c>
      <c r="H87" s="118"/>
      <c r="I87" s="118"/>
      <c r="J87" s="118"/>
      <c r="K87" s="118"/>
      <c r="L87" s="118"/>
      <c r="M87" s="118"/>
      <c r="N87" s="118"/>
      <c r="O87" s="118"/>
      <c r="P87" s="118">
        <v>0</v>
      </c>
      <c r="Q87" s="118"/>
      <c r="R87" s="118"/>
      <c r="S87" s="118"/>
      <c r="T87" s="118">
        <v>8.8659999999999997</v>
      </c>
      <c r="U87" s="118">
        <v>13.95</v>
      </c>
      <c r="V87" s="118"/>
      <c r="W87" s="118"/>
      <c r="X87" s="118">
        <v>8.8659999999999997</v>
      </c>
      <c r="Y87" s="118">
        <v>7.5378299999999996</v>
      </c>
      <c r="Z87" s="118"/>
      <c r="AA87" s="118"/>
      <c r="AB87" s="118">
        <v>8.8659999999999997</v>
      </c>
      <c r="AC87" s="118"/>
      <c r="AD87" s="118">
        <v>8.8699999999999992</v>
      </c>
      <c r="AE87" s="118"/>
      <c r="AF87" s="269"/>
      <c r="AH87" s="105"/>
      <c r="AI87" s="106"/>
    </row>
    <row r="88" spans="1:36" s="37" customFormat="1" ht="22.5" customHeight="1" x14ac:dyDescent="0.25">
      <c r="A88" s="126" t="s">
        <v>143</v>
      </c>
      <c r="B88" s="160">
        <f>B89+B90</f>
        <v>641.01096000000007</v>
      </c>
      <c r="C88" s="160">
        <f t="shared" ref="C88:E88" si="38">C89+C90</f>
        <v>641.01096000000007</v>
      </c>
      <c r="D88" s="160">
        <f t="shared" si="38"/>
        <v>477.76139999999998</v>
      </c>
      <c r="E88" s="160">
        <f t="shared" si="38"/>
        <v>477.76139999999998</v>
      </c>
      <c r="F88" s="81">
        <f t="shared" ref="F88:F89" si="39">E88/B88</f>
        <v>0.74532485372792989</v>
      </c>
      <c r="G88" s="81">
        <f>E88/C88</f>
        <v>0.74532485372792989</v>
      </c>
      <c r="H88" s="160">
        <f t="shared" ref="H88:AE88" si="40">H89+H90</f>
        <v>0</v>
      </c>
      <c r="I88" s="160">
        <f t="shared" si="40"/>
        <v>0</v>
      </c>
      <c r="J88" s="160">
        <f t="shared" si="40"/>
        <v>0</v>
      </c>
      <c r="K88" s="160">
        <f t="shared" si="40"/>
        <v>0</v>
      </c>
      <c r="L88" s="160">
        <f t="shared" si="40"/>
        <v>0</v>
      </c>
      <c r="M88" s="160">
        <f t="shared" si="40"/>
        <v>0</v>
      </c>
      <c r="N88" s="160">
        <f t="shared" si="40"/>
        <v>0</v>
      </c>
      <c r="O88" s="160">
        <f t="shared" si="40"/>
        <v>0</v>
      </c>
      <c r="P88" s="160">
        <f t="shared" si="40"/>
        <v>3.0748899999999999</v>
      </c>
      <c r="Q88" s="160">
        <f t="shared" si="40"/>
        <v>3.0999999999999996</v>
      </c>
      <c r="R88" s="160">
        <f t="shared" si="40"/>
        <v>64.661169999999998</v>
      </c>
      <c r="S88" s="160">
        <f t="shared" si="40"/>
        <v>36.448</v>
      </c>
      <c r="T88" s="160">
        <f t="shared" si="40"/>
        <v>83.670110000000008</v>
      </c>
      <c r="U88" s="160">
        <f t="shared" si="40"/>
        <v>80.489999999999995</v>
      </c>
      <c r="V88" s="160">
        <f t="shared" si="40"/>
        <v>64.661169999999998</v>
      </c>
      <c r="W88" s="160">
        <f t="shared" si="40"/>
        <v>47.121549999999999</v>
      </c>
      <c r="X88" s="160">
        <f t="shared" si="40"/>
        <v>83.475049999999996</v>
      </c>
      <c r="Y88" s="160">
        <f t="shared" si="40"/>
        <v>95.806340000000006</v>
      </c>
      <c r="Z88" s="160">
        <f t="shared" si="40"/>
        <v>64.661169999999998</v>
      </c>
      <c r="AA88" s="160">
        <f t="shared" si="40"/>
        <v>49.844999999999999</v>
      </c>
      <c r="AB88" s="160">
        <f t="shared" si="40"/>
        <v>83.475049999999996</v>
      </c>
      <c r="AC88" s="160">
        <f t="shared" si="40"/>
        <v>77.502409999999998</v>
      </c>
      <c r="AD88" s="160">
        <f t="shared" si="40"/>
        <v>193.33235000000002</v>
      </c>
      <c r="AE88" s="160">
        <f t="shared" si="40"/>
        <v>87.448099999999997</v>
      </c>
      <c r="AF88" s="269"/>
      <c r="AG88" s="107"/>
      <c r="AH88" s="38"/>
    </row>
    <row r="89" spans="1:36" s="37" customFormat="1" ht="22.5" customHeight="1" x14ac:dyDescent="0.25">
      <c r="A89" s="103" t="s">
        <v>102</v>
      </c>
      <c r="B89" s="161">
        <f>B84</f>
        <v>129.97399999999999</v>
      </c>
      <c r="C89" s="161">
        <f>C84</f>
        <v>129.97399999999999</v>
      </c>
      <c r="D89" s="161">
        <f t="shared" ref="D89:E89" si="41">D84</f>
        <v>84.288089999999997</v>
      </c>
      <c r="E89" s="161">
        <f t="shared" si="41"/>
        <v>84.288089999999997</v>
      </c>
      <c r="F89" s="81">
        <f t="shared" si="39"/>
        <v>0.64849962300152342</v>
      </c>
      <c r="G89" s="81">
        <f t="shared" ref="G89:G90" si="42">E89/C89</f>
        <v>0.64849962300152342</v>
      </c>
      <c r="H89" s="161">
        <f t="shared" ref="H89:AE89" si="43">H84</f>
        <v>0</v>
      </c>
      <c r="I89" s="161">
        <f t="shared" si="43"/>
        <v>0</v>
      </c>
      <c r="J89" s="161">
        <f t="shared" si="43"/>
        <v>0</v>
      </c>
      <c r="K89" s="161">
        <f t="shared" si="43"/>
        <v>0</v>
      </c>
      <c r="L89" s="161">
        <f t="shared" si="43"/>
        <v>0</v>
      </c>
      <c r="M89" s="161">
        <f t="shared" si="43"/>
        <v>0</v>
      </c>
      <c r="N89" s="161">
        <f t="shared" si="43"/>
        <v>0</v>
      </c>
      <c r="O89" s="161">
        <f t="shared" si="43"/>
        <v>0</v>
      </c>
      <c r="P89" s="161">
        <f t="shared" si="43"/>
        <v>0.79947000000000001</v>
      </c>
      <c r="Q89" s="161">
        <f t="shared" si="43"/>
        <v>0.8</v>
      </c>
      <c r="R89" s="161">
        <f t="shared" si="43"/>
        <v>16.86</v>
      </c>
      <c r="S89" s="161">
        <f t="shared" si="43"/>
        <v>9.51</v>
      </c>
      <c r="T89" s="161">
        <f t="shared" si="43"/>
        <v>16.86</v>
      </c>
      <c r="U89" s="161">
        <f t="shared" si="43"/>
        <v>17.3</v>
      </c>
      <c r="V89" s="161">
        <f t="shared" si="43"/>
        <v>16.86</v>
      </c>
      <c r="W89" s="161">
        <f t="shared" si="43"/>
        <v>12.012790000000001</v>
      </c>
      <c r="X89" s="161">
        <f t="shared" si="43"/>
        <v>16.86</v>
      </c>
      <c r="Y89" s="161">
        <f t="shared" si="43"/>
        <v>10.96</v>
      </c>
      <c r="Z89" s="161">
        <f t="shared" si="43"/>
        <v>16.86</v>
      </c>
      <c r="AA89" s="161">
        <f t="shared" si="43"/>
        <v>0</v>
      </c>
      <c r="AB89" s="161">
        <f t="shared" si="43"/>
        <v>16.86</v>
      </c>
      <c r="AC89" s="161">
        <f t="shared" si="43"/>
        <v>17.210909999999998</v>
      </c>
      <c r="AD89" s="161">
        <f t="shared" si="43"/>
        <v>28.014530000000001</v>
      </c>
      <c r="AE89" s="161">
        <f t="shared" si="43"/>
        <v>16.494389999999999</v>
      </c>
      <c r="AF89" s="269"/>
      <c r="AG89" s="108"/>
      <c r="AH89" s="38"/>
    </row>
    <row r="90" spans="1:36" s="37" customFormat="1" ht="22.5" customHeight="1" x14ac:dyDescent="0.25">
      <c r="A90" s="103" t="s">
        <v>103</v>
      </c>
      <c r="B90" s="161">
        <f>B85+B87</f>
        <v>511.03696000000008</v>
      </c>
      <c r="C90" s="161">
        <f>C85+C87</f>
        <v>511.03696000000008</v>
      </c>
      <c r="D90" s="161">
        <f t="shared" ref="D90:E90" si="44">D85+D87</f>
        <v>393.47330999999997</v>
      </c>
      <c r="E90" s="161">
        <f t="shared" si="44"/>
        <v>393.47330999999997</v>
      </c>
      <c r="F90" s="210">
        <f>E90/B90</f>
        <v>0.76995078790387272</v>
      </c>
      <c r="G90" s="210">
        <f t="shared" si="42"/>
        <v>0.76995078790387272</v>
      </c>
      <c r="H90" s="161">
        <f t="shared" ref="H90:AE90" si="45">H85+H87</f>
        <v>0</v>
      </c>
      <c r="I90" s="161">
        <f t="shared" si="45"/>
        <v>0</v>
      </c>
      <c r="J90" s="161">
        <f t="shared" si="45"/>
        <v>0</v>
      </c>
      <c r="K90" s="161">
        <f t="shared" si="45"/>
        <v>0</v>
      </c>
      <c r="L90" s="161">
        <f t="shared" si="45"/>
        <v>0</v>
      </c>
      <c r="M90" s="161">
        <f t="shared" si="45"/>
        <v>0</v>
      </c>
      <c r="N90" s="161">
        <f t="shared" si="45"/>
        <v>0</v>
      </c>
      <c r="O90" s="161">
        <f t="shared" si="45"/>
        <v>0</v>
      </c>
      <c r="P90" s="161">
        <f t="shared" si="45"/>
        <v>2.27542</v>
      </c>
      <c r="Q90" s="161">
        <f t="shared" si="45"/>
        <v>2.2999999999999998</v>
      </c>
      <c r="R90" s="161">
        <f t="shared" si="45"/>
        <v>47.801169999999999</v>
      </c>
      <c r="S90" s="161">
        <f t="shared" si="45"/>
        <v>26.937999999999999</v>
      </c>
      <c r="T90" s="161">
        <f t="shared" si="45"/>
        <v>66.810110000000009</v>
      </c>
      <c r="U90" s="161">
        <f t="shared" si="45"/>
        <v>63.19</v>
      </c>
      <c r="V90" s="161">
        <f t="shared" si="45"/>
        <v>47.801169999999999</v>
      </c>
      <c r="W90" s="161">
        <f t="shared" si="45"/>
        <v>35.108759999999997</v>
      </c>
      <c r="X90" s="161">
        <f t="shared" si="45"/>
        <v>66.615049999999997</v>
      </c>
      <c r="Y90" s="161">
        <f t="shared" si="45"/>
        <v>84.846339999999998</v>
      </c>
      <c r="Z90" s="161">
        <f t="shared" si="45"/>
        <v>47.801169999999999</v>
      </c>
      <c r="AA90" s="161">
        <f t="shared" si="45"/>
        <v>49.844999999999999</v>
      </c>
      <c r="AB90" s="161">
        <f t="shared" si="45"/>
        <v>66.615049999999997</v>
      </c>
      <c r="AC90" s="161">
        <f t="shared" si="45"/>
        <v>60.291499999999999</v>
      </c>
      <c r="AD90" s="161">
        <f t="shared" si="45"/>
        <v>165.31782000000001</v>
      </c>
      <c r="AE90" s="161">
        <f t="shared" si="45"/>
        <v>70.953710000000001</v>
      </c>
      <c r="AF90" s="270"/>
      <c r="AG90" s="108"/>
      <c r="AH90" s="285"/>
      <c r="AI90" s="285"/>
      <c r="AJ90" s="285"/>
    </row>
    <row r="91" spans="1:36" s="37" customFormat="1" ht="22.5" customHeight="1" x14ac:dyDescent="0.25">
      <c r="A91" s="109" t="s">
        <v>144</v>
      </c>
      <c r="B91" s="164"/>
      <c r="C91" s="164"/>
      <c r="D91" s="164"/>
      <c r="E91" s="164"/>
      <c r="F91" s="104"/>
      <c r="G91" s="104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267" t="s">
        <v>169</v>
      </c>
      <c r="AH91" s="38"/>
    </row>
    <row r="92" spans="1:36" s="37" customFormat="1" ht="39" customHeight="1" x14ac:dyDescent="0.25">
      <c r="A92" s="100" t="s">
        <v>121</v>
      </c>
      <c r="B92" s="152"/>
      <c r="C92" s="152"/>
      <c r="D92" s="152"/>
      <c r="E92" s="152"/>
      <c r="F92" s="95"/>
      <c r="G92" s="95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265"/>
      <c r="AH92" s="38"/>
    </row>
    <row r="93" spans="1:36" s="37" customFormat="1" ht="15.75" customHeight="1" x14ac:dyDescent="0.25">
      <c r="A93" s="101" t="s">
        <v>122</v>
      </c>
      <c r="B93" s="160">
        <f>B95+B94</f>
        <v>304.95734000000004</v>
      </c>
      <c r="C93" s="160">
        <f>C95+C94</f>
        <v>304.95734000000004</v>
      </c>
      <c r="D93" s="160">
        <f>D95+D94</f>
        <v>256.5582</v>
      </c>
      <c r="E93" s="160">
        <f>E95+E94</f>
        <v>256.5582</v>
      </c>
      <c r="F93" s="102">
        <f>E93/B93</f>
        <v>0.84129209678966888</v>
      </c>
      <c r="G93" s="102">
        <f>E93/C93</f>
        <v>0.84129209678966888</v>
      </c>
      <c r="H93" s="167">
        <f>H95+H94</f>
        <v>0</v>
      </c>
      <c r="I93" s="167">
        <f>I95+I94</f>
        <v>0</v>
      </c>
      <c r="J93" s="167">
        <f>J95+J94</f>
        <v>0</v>
      </c>
      <c r="K93" s="167">
        <f t="shared" ref="K93:M93" si="46">K95+K94</f>
        <v>0</v>
      </c>
      <c r="L93" s="167">
        <f t="shared" si="46"/>
        <v>0</v>
      </c>
      <c r="M93" s="167">
        <f t="shared" si="46"/>
        <v>0</v>
      </c>
      <c r="N93" s="167">
        <f>N95+N94</f>
        <v>0</v>
      </c>
      <c r="O93" s="167">
        <f>O95+O94</f>
        <v>0</v>
      </c>
      <c r="P93" s="167">
        <f>P95+P94</f>
        <v>0</v>
      </c>
      <c r="Q93" s="167">
        <f t="shared" ref="Q93:AB93" si="47">Q95+Q94</f>
        <v>0</v>
      </c>
      <c r="R93" s="167">
        <f t="shared" si="47"/>
        <v>32.330579999999998</v>
      </c>
      <c r="S93" s="167">
        <f t="shared" si="47"/>
        <v>28.248999999999999</v>
      </c>
      <c r="T93" s="167">
        <f t="shared" si="47"/>
        <v>37.40204</v>
      </c>
      <c r="U93" s="167">
        <f t="shared" si="47"/>
        <v>36.909999999999997</v>
      </c>
      <c r="V93" s="167">
        <f t="shared" si="47"/>
        <v>32.330579999999998</v>
      </c>
      <c r="W93" s="167">
        <f t="shared" si="47"/>
        <v>28.593050000000002</v>
      </c>
      <c r="X93" s="167">
        <f>X95+X94</f>
        <v>37.304510000000001</v>
      </c>
      <c r="Y93" s="167">
        <f t="shared" si="47"/>
        <v>32.690980000000003</v>
      </c>
      <c r="Z93" s="167">
        <f t="shared" si="47"/>
        <v>32.330569999999994</v>
      </c>
      <c r="AA93" s="167">
        <f t="shared" si="47"/>
        <v>26.017189999999999</v>
      </c>
      <c r="AB93" s="167">
        <f t="shared" si="47"/>
        <v>37.304510000000001</v>
      </c>
      <c r="AC93" s="167">
        <f>AC95+AC94</f>
        <v>40.068930000000002</v>
      </c>
      <c r="AD93" s="167">
        <f>AD95+AD94</f>
        <v>95.954549999999998</v>
      </c>
      <c r="AE93" s="167">
        <f>AE95+AE94</f>
        <v>64.029049999999998</v>
      </c>
      <c r="AF93" s="265"/>
      <c r="AH93" s="38"/>
    </row>
    <row r="94" spans="1:36" s="37" customFormat="1" ht="21.75" customHeight="1" x14ac:dyDescent="0.25">
      <c r="A94" s="103" t="s">
        <v>102</v>
      </c>
      <c r="B94" s="161">
        <f>H94+J94+L94+N94+P94+R94+T94+V94+X94+Z94+AB94+AD94</f>
        <v>67.173000000000002</v>
      </c>
      <c r="C94" s="162">
        <f>H94+J94+L94+N94+P94+R94+T94+V94+X94+Z94+AB94+AD94</f>
        <v>67.173000000000002</v>
      </c>
      <c r="D94" s="162">
        <f>E94</f>
        <v>62.495720000000006</v>
      </c>
      <c r="E94" s="162">
        <f>I94+K94+M94+O94+Q94+S94+U94+W94+Y94+AA94+AC94+AE94</f>
        <v>62.495720000000006</v>
      </c>
      <c r="F94" s="81">
        <f>E94/B94</f>
        <v>0.93036964256472099</v>
      </c>
      <c r="G94" s="81">
        <f>E94/C94</f>
        <v>0.93036964256472099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>
        <v>8.43</v>
      </c>
      <c r="S94" s="118">
        <v>7.3449999999999998</v>
      </c>
      <c r="T94" s="118">
        <v>8.43</v>
      </c>
      <c r="U94" s="118">
        <v>8.64</v>
      </c>
      <c r="V94" s="118">
        <v>8.43</v>
      </c>
      <c r="W94" s="118">
        <v>7.2980499999999999</v>
      </c>
      <c r="X94" s="118">
        <v>8.43</v>
      </c>
      <c r="Y94" s="118">
        <v>2.0099999999999998</v>
      </c>
      <c r="Z94" s="118">
        <v>8.43</v>
      </c>
      <c r="AA94" s="118"/>
      <c r="AB94" s="118">
        <v>8.43</v>
      </c>
      <c r="AC94" s="118">
        <f>12.34537</f>
        <v>12.345370000000001</v>
      </c>
      <c r="AD94" s="118">
        <f>25.29-8.697</f>
        <v>16.593</v>
      </c>
      <c r="AE94" s="118">
        <f>24.8573</f>
        <v>24.857299999999999</v>
      </c>
      <c r="AF94" s="265"/>
      <c r="AH94" s="38"/>
    </row>
    <row r="95" spans="1:36" s="37" customFormat="1" ht="22.5" customHeight="1" x14ac:dyDescent="0.25">
      <c r="A95" s="103" t="s">
        <v>103</v>
      </c>
      <c r="B95" s="161">
        <f>H95+J95+L95+N95+P95+R95+T95+V95+X95+Z95+AB95+AD95</f>
        <v>237.78434000000001</v>
      </c>
      <c r="C95" s="162">
        <f>H95+J95+L95+N95+P95+R95+T95+V95+X95+Z95+AB95+AD95</f>
        <v>237.78434000000001</v>
      </c>
      <c r="D95" s="162">
        <f>E95</f>
        <v>194.06247999999999</v>
      </c>
      <c r="E95" s="162">
        <f>I95+K95+M95+O95+Q95+S95+U95+W95+Y95+AA95+AC95+AE95</f>
        <v>194.06247999999999</v>
      </c>
      <c r="F95" s="81">
        <f>E95/B95</f>
        <v>0.81612809321253021</v>
      </c>
      <c r="G95" s="81">
        <f>E95/C95</f>
        <v>0.81612809321253021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>
        <v>23.900580000000001</v>
      </c>
      <c r="S95" s="118">
        <v>20.904</v>
      </c>
      <c r="T95" s="118">
        <v>28.97204</v>
      </c>
      <c r="U95" s="118">
        <v>28.27</v>
      </c>
      <c r="V95" s="118">
        <v>23.900580000000001</v>
      </c>
      <c r="W95" s="118">
        <v>21.295000000000002</v>
      </c>
      <c r="X95" s="118">
        <v>28.874510000000001</v>
      </c>
      <c r="Y95" s="118">
        <v>30.680980000000002</v>
      </c>
      <c r="Z95" s="118">
        <v>23.900569999999998</v>
      </c>
      <c r="AA95" s="118">
        <f>26.01719</f>
        <v>26.017189999999999</v>
      </c>
      <c r="AB95" s="118">
        <v>28.874510000000001</v>
      </c>
      <c r="AC95" s="118">
        <v>27.723559999999999</v>
      </c>
      <c r="AD95" s="118">
        <v>79.361549999999994</v>
      </c>
      <c r="AE95" s="118">
        <f>38.30175+0.87</f>
        <v>39.171749999999996</v>
      </c>
      <c r="AF95" s="265"/>
      <c r="AH95" s="38"/>
    </row>
    <row r="96" spans="1:36" s="37" customFormat="1" ht="102.75" customHeight="1" x14ac:dyDescent="0.25">
      <c r="A96" s="100" t="s">
        <v>123</v>
      </c>
      <c r="B96" s="152"/>
      <c r="C96" s="152"/>
      <c r="D96" s="152"/>
      <c r="E96" s="152"/>
      <c r="F96" s="95"/>
      <c r="G96" s="95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265"/>
      <c r="AH96" s="105"/>
      <c r="AI96" s="106"/>
    </row>
    <row r="97" spans="1:36" s="37" customFormat="1" ht="22.5" customHeight="1" x14ac:dyDescent="0.25">
      <c r="A97" s="103" t="s">
        <v>103</v>
      </c>
      <c r="B97" s="161">
        <f>H97+J97+L97+N97+P97+R97+T97+V97+X97+Z97+AB97+AD97</f>
        <v>13.298999999999999</v>
      </c>
      <c r="C97" s="162">
        <f>H97+J97+L97+N97+P97+R97+T97+V97+X97+Z97+AB97+AD97</f>
        <v>13.298999999999999</v>
      </c>
      <c r="D97" s="163">
        <f>E97</f>
        <v>13.29918</v>
      </c>
      <c r="E97" s="162">
        <f>I97+K97+M97+O97+Q97+S97+U97+W97+Y97+AA97+AC97+AE97</f>
        <v>13.29918</v>
      </c>
      <c r="F97" s="81">
        <f>E97/B97</f>
        <v>1.0000135348522445</v>
      </c>
      <c r="G97" s="81">
        <f>E97/C97</f>
        <v>1.0000135348522445</v>
      </c>
      <c r="H97" s="118"/>
      <c r="I97" s="118"/>
      <c r="J97" s="118"/>
      <c r="K97" s="118"/>
      <c r="L97" s="118"/>
      <c r="M97" s="118"/>
      <c r="N97" s="118"/>
      <c r="O97" s="118"/>
      <c r="P97" s="118">
        <f>4.141</f>
        <v>4.141</v>
      </c>
      <c r="Q97" s="118"/>
      <c r="R97" s="118">
        <f>3544.09/1000</f>
        <v>3.5440900000000002</v>
      </c>
      <c r="S97" s="118">
        <v>7.6849999999999996</v>
      </c>
      <c r="T97" s="118">
        <v>4.4329999999999998</v>
      </c>
      <c r="U97" s="118"/>
      <c r="V97" s="118"/>
      <c r="W97" s="118"/>
      <c r="X97" s="118">
        <f>888.91/1000</f>
        <v>0.88890999999999998</v>
      </c>
      <c r="Y97" s="118"/>
      <c r="Z97" s="118"/>
      <c r="AA97" s="118"/>
      <c r="AB97" s="118"/>
      <c r="AC97" s="118"/>
      <c r="AD97" s="118">
        <f>(292)/1000</f>
        <v>0.29199999999999998</v>
      </c>
      <c r="AE97" s="118">
        <f>6.48418-0.87</f>
        <v>5.6141800000000002</v>
      </c>
      <c r="AF97" s="265"/>
      <c r="AH97" s="105"/>
      <c r="AI97" s="106"/>
    </row>
    <row r="98" spans="1:36" s="37" customFormat="1" ht="22.5" customHeight="1" x14ac:dyDescent="0.25">
      <c r="A98" s="126" t="s">
        <v>145</v>
      </c>
      <c r="B98" s="160">
        <f>B99+B100</f>
        <v>318.25634000000002</v>
      </c>
      <c r="C98" s="160">
        <f t="shared" ref="C98:E98" si="48">C99+C100</f>
        <v>318.25634000000002</v>
      </c>
      <c r="D98" s="160">
        <f t="shared" si="48"/>
        <v>269.85738000000003</v>
      </c>
      <c r="E98" s="160">
        <f t="shared" si="48"/>
        <v>269.85738000000003</v>
      </c>
      <c r="F98" s="81">
        <f t="shared" ref="F98:F99" si="49">E98/B98</f>
        <v>0.84792460065367437</v>
      </c>
      <c r="G98" s="81">
        <f>E98/C98</f>
        <v>0.84792460065367437</v>
      </c>
      <c r="H98" s="160">
        <f t="shared" ref="H98:AE98" si="50">H99+H100</f>
        <v>0</v>
      </c>
      <c r="I98" s="160">
        <f t="shared" si="50"/>
        <v>0</v>
      </c>
      <c r="J98" s="160">
        <f t="shared" si="50"/>
        <v>0</v>
      </c>
      <c r="K98" s="160">
        <f t="shared" si="50"/>
        <v>0</v>
      </c>
      <c r="L98" s="160">
        <f t="shared" si="50"/>
        <v>0</v>
      </c>
      <c r="M98" s="160">
        <f t="shared" si="50"/>
        <v>0</v>
      </c>
      <c r="N98" s="160">
        <f t="shared" si="50"/>
        <v>0</v>
      </c>
      <c r="O98" s="160">
        <f t="shared" si="50"/>
        <v>0</v>
      </c>
      <c r="P98" s="160">
        <f t="shared" si="50"/>
        <v>4.141</v>
      </c>
      <c r="Q98" s="160">
        <f t="shared" si="50"/>
        <v>0</v>
      </c>
      <c r="R98" s="160">
        <f t="shared" si="50"/>
        <v>35.874670000000002</v>
      </c>
      <c r="S98" s="160">
        <f t="shared" si="50"/>
        <v>35.933999999999997</v>
      </c>
      <c r="T98" s="160">
        <f t="shared" si="50"/>
        <v>41.835039999999999</v>
      </c>
      <c r="U98" s="160">
        <f t="shared" si="50"/>
        <v>36.909999999999997</v>
      </c>
      <c r="V98" s="160">
        <f t="shared" si="50"/>
        <v>32.330579999999998</v>
      </c>
      <c r="W98" s="160">
        <f t="shared" si="50"/>
        <v>28.593050000000002</v>
      </c>
      <c r="X98" s="160">
        <f t="shared" si="50"/>
        <v>38.193420000000003</v>
      </c>
      <c r="Y98" s="160">
        <f t="shared" si="50"/>
        <v>32.690980000000003</v>
      </c>
      <c r="Z98" s="160">
        <f t="shared" si="50"/>
        <v>32.330569999999994</v>
      </c>
      <c r="AA98" s="160">
        <f t="shared" si="50"/>
        <v>26.017189999999999</v>
      </c>
      <c r="AB98" s="160">
        <f t="shared" si="50"/>
        <v>37.304510000000001</v>
      </c>
      <c r="AC98" s="160">
        <f t="shared" si="50"/>
        <v>40.068930000000002</v>
      </c>
      <c r="AD98" s="160">
        <f t="shared" si="50"/>
        <v>96.246549999999999</v>
      </c>
      <c r="AE98" s="160">
        <f t="shared" si="50"/>
        <v>69.643229999999988</v>
      </c>
      <c r="AF98" s="265"/>
      <c r="AG98" s="107"/>
      <c r="AH98" s="38"/>
    </row>
    <row r="99" spans="1:36" s="37" customFormat="1" ht="22.5" customHeight="1" x14ac:dyDescent="0.25">
      <c r="A99" s="103" t="s">
        <v>102</v>
      </c>
      <c r="B99" s="161">
        <f>B94</f>
        <v>67.173000000000002</v>
      </c>
      <c r="C99" s="161">
        <f>C94</f>
        <v>67.173000000000002</v>
      </c>
      <c r="D99" s="161">
        <f t="shared" ref="D99:E99" si="51">D94</f>
        <v>62.495720000000006</v>
      </c>
      <c r="E99" s="161">
        <f t="shared" si="51"/>
        <v>62.495720000000006</v>
      </c>
      <c r="F99" s="81">
        <f t="shared" si="49"/>
        <v>0.93036964256472099</v>
      </c>
      <c r="G99" s="81">
        <f t="shared" ref="G99:G100" si="52">E99/C99</f>
        <v>0.93036964256472099</v>
      </c>
      <c r="H99" s="161">
        <f t="shared" ref="H99:AE99" si="53">H94</f>
        <v>0</v>
      </c>
      <c r="I99" s="161">
        <f t="shared" si="53"/>
        <v>0</v>
      </c>
      <c r="J99" s="161">
        <f t="shared" si="53"/>
        <v>0</v>
      </c>
      <c r="K99" s="161">
        <f t="shared" si="53"/>
        <v>0</v>
      </c>
      <c r="L99" s="161">
        <f t="shared" si="53"/>
        <v>0</v>
      </c>
      <c r="M99" s="161">
        <f t="shared" si="53"/>
        <v>0</v>
      </c>
      <c r="N99" s="161">
        <f t="shared" si="53"/>
        <v>0</v>
      </c>
      <c r="O99" s="161">
        <f t="shared" si="53"/>
        <v>0</v>
      </c>
      <c r="P99" s="161">
        <f t="shared" si="53"/>
        <v>0</v>
      </c>
      <c r="Q99" s="161">
        <f t="shared" si="53"/>
        <v>0</v>
      </c>
      <c r="R99" s="161">
        <f t="shared" si="53"/>
        <v>8.43</v>
      </c>
      <c r="S99" s="161">
        <f t="shared" si="53"/>
        <v>7.3449999999999998</v>
      </c>
      <c r="T99" s="161">
        <f t="shared" si="53"/>
        <v>8.43</v>
      </c>
      <c r="U99" s="161">
        <f t="shared" si="53"/>
        <v>8.64</v>
      </c>
      <c r="V99" s="161">
        <f t="shared" si="53"/>
        <v>8.43</v>
      </c>
      <c r="W99" s="161">
        <f t="shared" si="53"/>
        <v>7.2980499999999999</v>
      </c>
      <c r="X99" s="161">
        <f t="shared" si="53"/>
        <v>8.43</v>
      </c>
      <c r="Y99" s="161">
        <f t="shared" si="53"/>
        <v>2.0099999999999998</v>
      </c>
      <c r="Z99" s="161">
        <f t="shared" si="53"/>
        <v>8.43</v>
      </c>
      <c r="AA99" s="161">
        <f t="shared" si="53"/>
        <v>0</v>
      </c>
      <c r="AB99" s="161">
        <f t="shared" si="53"/>
        <v>8.43</v>
      </c>
      <c r="AC99" s="161">
        <f t="shared" si="53"/>
        <v>12.345370000000001</v>
      </c>
      <c r="AD99" s="161">
        <f t="shared" si="53"/>
        <v>16.593</v>
      </c>
      <c r="AE99" s="161">
        <f t="shared" si="53"/>
        <v>24.857299999999999</v>
      </c>
      <c r="AF99" s="265"/>
      <c r="AG99" s="108"/>
      <c r="AH99" s="38"/>
    </row>
    <row r="100" spans="1:36" s="37" customFormat="1" ht="22.5" customHeight="1" x14ac:dyDescent="0.25">
      <c r="A100" s="103" t="s">
        <v>103</v>
      </c>
      <c r="B100" s="161">
        <f>B95+B97</f>
        <v>251.08334000000002</v>
      </c>
      <c r="C100" s="161">
        <f>C95+C97</f>
        <v>251.08334000000002</v>
      </c>
      <c r="D100" s="161">
        <f t="shared" ref="D100:E100" si="54">D95+D97</f>
        <v>207.36166</v>
      </c>
      <c r="E100" s="161">
        <f t="shared" si="54"/>
        <v>207.36166</v>
      </c>
      <c r="F100" s="210">
        <f>E100/B100</f>
        <v>0.82586785726205481</v>
      </c>
      <c r="G100" s="210">
        <f t="shared" si="52"/>
        <v>0.82586785726205481</v>
      </c>
      <c r="H100" s="161">
        <f t="shared" ref="H100:AE100" si="55">H95+H97</f>
        <v>0</v>
      </c>
      <c r="I100" s="161">
        <f t="shared" si="55"/>
        <v>0</v>
      </c>
      <c r="J100" s="161">
        <f t="shared" si="55"/>
        <v>0</v>
      </c>
      <c r="K100" s="161">
        <f t="shared" si="55"/>
        <v>0</v>
      </c>
      <c r="L100" s="161">
        <f t="shared" si="55"/>
        <v>0</v>
      </c>
      <c r="M100" s="161">
        <f t="shared" si="55"/>
        <v>0</v>
      </c>
      <c r="N100" s="161">
        <f t="shared" si="55"/>
        <v>0</v>
      </c>
      <c r="O100" s="161">
        <f t="shared" si="55"/>
        <v>0</v>
      </c>
      <c r="P100" s="161">
        <f t="shared" si="55"/>
        <v>4.141</v>
      </c>
      <c r="Q100" s="161">
        <f t="shared" si="55"/>
        <v>0</v>
      </c>
      <c r="R100" s="161">
        <f t="shared" si="55"/>
        <v>27.444670000000002</v>
      </c>
      <c r="S100" s="161">
        <f t="shared" si="55"/>
        <v>28.588999999999999</v>
      </c>
      <c r="T100" s="161">
        <f t="shared" si="55"/>
        <v>33.40504</v>
      </c>
      <c r="U100" s="161">
        <f t="shared" si="55"/>
        <v>28.27</v>
      </c>
      <c r="V100" s="161">
        <f t="shared" si="55"/>
        <v>23.900580000000001</v>
      </c>
      <c r="W100" s="161">
        <f t="shared" si="55"/>
        <v>21.295000000000002</v>
      </c>
      <c r="X100" s="161">
        <f>X95+X97</f>
        <v>29.76342</v>
      </c>
      <c r="Y100" s="161">
        <f t="shared" si="55"/>
        <v>30.680980000000002</v>
      </c>
      <c r="Z100" s="161">
        <f t="shared" si="55"/>
        <v>23.900569999999998</v>
      </c>
      <c r="AA100" s="161">
        <f t="shared" si="55"/>
        <v>26.017189999999999</v>
      </c>
      <c r="AB100" s="161">
        <f t="shared" si="55"/>
        <v>28.874510000000001</v>
      </c>
      <c r="AC100" s="161">
        <f t="shared" si="55"/>
        <v>27.723559999999999</v>
      </c>
      <c r="AD100" s="161">
        <f>AD95+AD97</f>
        <v>79.653549999999996</v>
      </c>
      <c r="AE100" s="161">
        <f t="shared" si="55"/>
        <v>44.785929999999993</v>
      </c>
      <c r="AF100" s="266"/>
      <c r="AG100" s="108"/>
      <c r="AH100" s="285"/>
      <c r="AI100" s="285"/>
      <c r="AJ100" s="285"/>
    </row>
    <row r="101" spans="1:36" s="37" customFormat="1" ht="22.5" customHeight="1" x14ac:dyDescent="0.25">
      <c r="A101" s="109" t="s">
        <v>146</v>
      </c>
      <c r="B101" s="164"/>
      <c r="C101" s="164"/>
      <c r="D101" s="164"/>
      <c r="E101" s="164"/>
      <c r="F101" s="104"/>
      <c r="G101" s="104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267" t="s">
        <v>170</v>
      </c>
      <c r="AH101" s="38"/>
    </row>
    <row r="102" spans="1:36" s="37" customFormat="1" ht="39" customHeight="1" x14ac:dyDescent="0.25">
      <c r="A102" s="100" t="s">
        <v>121</v>
      </c>
      <c r="B102" s="152"/>
      <c r="C102" s="152"/>
      <c r="D102" s="152"/>
      <c r="E102" s="152"/>
      <c r="F102" s="95"/>
      <c r="G102" s="95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265"/>
      <c r="AH102" s="38"/>
    </row>
    <row r="103" spans="1:36" s="37" customFormat="1" ht="15.75" customHeight="1" x14ac:dyDescent="0.25">
      <c r="A103" s="101" t="s">
        <v>122</v>
      </c>
      <c r="B103" s="160">
        <f>B105+B104</f>
        <v>302.33325000000002</v>
      </c>
      <c r="C103" s="160">
        <f>C105+C104</f>
        <v>302.33325000000002</v>
      </c>
      <c r="D103" s="160">
        <f>D105+D104</f>
        <v>267.49736000000001</v>
      </c>
      <c r="E103" s="160">
        <f>E105+E104</f>
        <v>267.49736000000001</v>
      </c>
      <c r="F103" s="102">
        <f>E103/B103</f>
        <v>0.88477651730333995</v>
      </c>
      <c r="G103" s="102">
        <f>E103/C103</f>
        <v>0.88477651730333995</v>
      </c>
      <c r="H103" s="167">
        <f>H105+H104</f>
        <v>0</v>
      </c>
      <c r="I103" s="167">
        <f>I105+I104</f>
        <v>0</v>
      </c>
      <c r="J103" s="167">
        <f>J105+J104</f>
        <v>0</v>
      </c>
      <c r="K103" s="167">
        <f t="shared" ref="K103:M103" si="56">K105+K104</f>
        <v>0</v>
      </c>
      <c r="L103" s="167">
        <f t="shared" si="56"/>
        <v>0</v>
      </c>
      <c r="M103" s="167">
        <f t="shared" si="56"/>
        <v>0</v>
      </c>
      <c r="N103" s="167">
        <f>N105+N104</f>
        <v>0</v>
      </c>
      <c r="O103" s="167">
        <f>O105+O104</f>
        <v>0</v>
      </c>
      <c r="P103" s="167">
        <f>P105+P104</f>
        <v>0</v>
      </c>
      <c r="Q103" s="167">
        <f t="shared" ref="Q103:AB103" si="57">Q105+Q104</f>
        <v>0</v>
      </c>
      <c r="R103" s="167">
        <f t="shared" si="57"/>
        <v>32.331800000000001</v>
      </c>
      <c r="S103" s="167">
        <f t="shared" si="57"/>
        <v>26.442</v>
      </c>
      <c r="T103" s="167">
        <f t="shared" si="57"/>
        <v>37.403449999999999</v>
      </c>
      <c r="U103" s="167">
        <f t="shared" si="57"/>
        <v>33.18</v>
      </c>
      <c r="V103" s="167">
        <f t="shared" si="57"/>
        <v>32.331800000000001</v>
      </c>
      <c r="W103" s="167">
        <f t="shared" si="57"/>
        <v>32.726440000000004</v>
      </c>
      <c r="X103" s="167">
        <f t="shared" si="57"/>
        <v>37.30592</v>
      </c>
      <c r="Y103" s="167">
        <f t="shared" si="57"/>
        <v>32.278759999999998</v>
      </c>
      <c r="Z103" s="167">
        <f t="shared" si="57"/>
        <v>32.331800000000001</v>
      </c>
      <c r="AA103" s="167">
        <f t="shared" si="57"/>
        <v>17.153790000000001</v>
      </c>
      <c r="AB103" s="167">
        <f t="shared" si="57"/>
        <v>37.30592</v>
      </c>
      <c r="AC103" s="167">
        <f>AC105+AC104</f>
        <v>42.614040000000003</v>
      </c>
      <c r="AD103" s="167">
        <f>AD105+AD104</f>
        <v>93.322559999999996</v>
      </c>
      <c r="AE103" s="167">
        <f>AE105+AE104</f>
        <v>83.102330000000009</v>
      </c>
      <c r="AF103" s="265"/>
      <c r="AH103" s="38"/>
    </row>
    <row r="104" spans="1:36" s="37" customFormat="1" ht="21.75" customHeight="1" x14ac:dyDescent="0.25">
      <c r="A104" s="103" t="s">
        <v>102</v>
      </c>
      <c r="B104" s="161">
        <f>H104+J104+L104+N104+P104+R104+T104+V104+X104+Z104+AB104+AD104</f>
        <v>64.406999999999996</v>
      </c>
      <c r="C104" s="162">
        <f>H104+J104+L104+N104+P104+R104+T104+V104+X104+Z104+AB104+AD104</f>
        <v>64.406999999999996</v>
      </c>
      <c r="D104" s="162">
        <f>E104</f>
        <v>57.744749999999996</v>
      </c>
      <c r="E104" s="162">
        <f>I104+K104+M104+O104+Q104+S104+U104+W104+Y104+AA104+AC104+AE104</f>
        <v>57.744749999999996</v>
      </c>
      <c r="F104" s="81">
        <f>E104/B104</f>
        <v>0.89656015650472776</v>
      </c>
      <c r="G104" s="81">
        <f>E104/C104</f>
        <v>0.89656015650472776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>
        <v>8.43</v>
      </c>
      <c r="S104" s="118">
        <v>7.4569999999999999</v>
      </c>
      <c r="T104" s="118">
        <v>8.43</v>
      </c>
      <c r="U104" s="118">
        <v>5.77</v>
      </c>
      <c r="V104" s="118">
        <v>8.43</v>
      </c>
      <c r="W104" s="118">
        <v>6.6184500000000002</v>
      </c>
      <c r="X104" s="118">
        <v>8.43</v>
      </c>
      <c r="Y104" s="118">
        <v>5.45</v>
      </c>
      <c r="Z104" s="118">
        <v>8.43</v>
      </c>
      <c r="AA104" s="118"/>
      <c r="AB104" s="118">
        <v>8.43</v>
      </c>
      <c r="AC104" s="118">
        <v>11.877050000000001</v>
      </c>
      <c r="AD104" s="118">
        <f>25.29-11.463</f>
        <v>13.827</v>
      </c>
      <c r="AE104" s="118">
        <v>20.57225</v>
      </c>
      <c r="AF104" s="265"/>
      <c r="AH104" s="38"/>
    </row>
    <row r="105" spans="1:36" s="37" customFormat="1" ht="22.5" customHeight="1" x14ac:dyDescent="0.25">
      <c r="A105" s="103" t="s">
        <v>103</v>
      </c>
      <c r="B105" s="161">
        <f>H105+J105+L105+N105+P105+R105+T105+V105+X105+Z105+AB105+AD105</f>
        <v>237.92625000000004</v>
      </c>
      <c r="C105" s="162">
        <f>H105+J105+L105+N105+P105+R105+T105+V105+X105+Z105+AB105+AD105</f>
        <v>237.92625000000004</v>
      </c>
      <c r="D105" s="162">
        <f>E105</f>
        <v>209.75261</v>
      </c>
      <c r="E105" s="162">
        <f>I105+K105+M105+O105+Q105+S105+U105+W105+Y105+AA105+AC105+AE105</f>
        <v>209.75261</v>
      </c>
      <c r="F105" s="81">
        <f>E105/B105</f>
        <v>0.88158666813771058</v>
      </c>
      <c r="G105" s="81">
        <f>E105/C105</f>
        <v>0.88158666813771058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>
        <v>23.901800000000001</v>
      </c>
      <c r="S105" s="118">
        <v>18.984999999999999</v>
      </c>
      <c r="T105" s="118">
        <v>28.97345</v>
      </c>
      <c r="U105" s="118">
        <v>27.41</v>
      </c>
      <c r="V105" s="118">
        <v>23.901800000000001</v>
      </c>
      <c r="W105" s="118">
        <v>26.107990000000001</v>
      </c>
      <c r="X105" s="118">
        <v>28.875920000000001</v>
      </c>
      <c r="Y105" s="118">
        <v>26.828759999999999</v>
      </c>
      <c r="Z105" s="118">
        <v>23.901800000000001</v>
      </c>
      <c r="AA105" s="118">
        <v>17.153790000000001</v>
      </c>
      <c r="AB105" s="118">
        <v>28.875920000000001</v>
      </c>
      <c r="AC105" s="118">
        <f>23.55699+7.18</f>
        <v>30.736989999999999</v>
      </c>
      <c r="AD105" s="118">
        <f>79.36556+0.14-0.01</f>
        <v>79.495559999999998</v>
      </c>
      <c r="AE105" s="118">
        <f>52.61008+9.92</f>
        <v>62.530080000000005</v>
      </c>
      <c r="AF105" s="265"/>
      <c r="AH105" s="38"/>
    </row>
    <row r="106" spans="1:36" s="37" customFormat="1" ht="102.75" customHeight="1" x14ac:dyDescent="0.25">
      <c r="A106" s="100" t="s">
        <v>123</v>
      </c>
      <c r="B106" s="152"/>
      <c r="C106" s="152"/>
      <c r="D106" s="152"/>
      <c r="E106" s="152"/>
      <c r="F106" s="95"/>
      <c r="G106" s="95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265"/>
      <c r="AH106" s="105"/>
      <c r="AI106" s="106"/>
    </row>
    <row r="107" spans="1:36" s="37" customFormat="1" ht="22.5" customHeight="1" x14ac:dyDescent="0.25">
      <c r="A107" s="103" t="s">
        <v>103</v>
      </c>
      <c r="B107" s="161">
        <f>H107+J107+L107+N107+P107+R107+T107+V107+X107+Z107+AB107+AD107</f>
        <v>13.298999999999999</v>
      </c>
      <c r="C107" s="162">
        <f>H107+J107+L107+N107+P107+R107+T107+V107+X107+Z107+AB107+AD107</f>
        <v>13.298999999999999</v>
      </c>
      <c r="D107" s="163">
        <f>E107</f>
        <v>13.298400000000001</v>
      </c>
      <c r="E107" s="162">
        <f>I107+K107+M107+O107+Q107+S107+U107+W107+Y107+AA107+AC107+AE107</f>
        <v>13.298400000000001</v>
      </c>
      <c r="F107" s="81">
        <f>E107/B107</f>
        <v>0.99995488382585163</v>
      </c>
      <c r="G107" s="81">
        <f>E107/C107</f>
        <v>0.99995488382585163</v>
      </c>
      <c r="H107" s="118"/>
      <c r="I107" s="118"/>
      <c r="J107" s="118"/>
      <c r="K107" s="118"/>
      <c r="L107" s="118"/>
      <c r="M107" s="118"/>
      <c r="N107" s="118">
        <v>4.141</v>
      </c>
      <c r="O107" s="118"/>
      <c r="P107" s="118">
        <v>4.141</v>
      </c>
      <c r="Q107" s="118"/>
      <c r="R107" s="118"/>
      <c r="S107" s="118">
        <v>8.282</v>
      </c>
      <c r="T107" s="118"/>
      <c r="U107" s="118">
        <v>2.56</v>
      </c>
      <c r="V107" s="118"/>
      <c r="W107" s="118"/>
      <c r="X107" s="118">
        <v>4.4329999999999998</v>
      </c>
      <c r="Y107" s="118"/>
      <c r="Z107" s="118"/>
      <c r="AA107" s="118">
        <f>9.0545-7.18</f>
        <v>1.8745000000000012</v>
      </c>
      <c r="AB107" s="118"/>
      <c r="AC107" s="118"/>
      <c r="AD107" s="118">
        <f>584/1000</f>
        <v>0.58399999999999996</v>
      </c>
      <c r="AE107" s="118">
        <f>10.5019-9.92</f>
        <v>0.5818999999999992</v>
      </c>
      <c r="AF107" s="265"/>
      <c r="AH107" s="105"/>
      <c r="AI107" s="106"/>
    </row>
    <row r="108" spans="1:36" s="37" customFormat="1" ht="22.5" customHeight="1" x14ac:dyDescent="0.25">
      <c r="A108" s="126" t="s">
        <v>147</v>
      </c>
      <c r="B108" s="160">
        <f>B109+B110</f>
        <v>315.63225000000006</v>
      </c>
      <c r="C108" s="160">
        <f t="shared" ref="C108:E108" si="58">C109+C110</f>
        <v>315.63225000000006</v>
      </c>
      <c r="D108" s="160">
        <f t="shared" si="58"/>
        <v>280.79576000000003</v>
      </c>
      <c r="E108" s="160">
        <f t="shared" si="58"/>
        <v>280.79576000000003</v>
      </c>
      <c r="F108" s="81">
        <f t="shared" ref="F108:F109" si="59">E108/B108</f>
        <v>0.88962949761946053</v>
      </c>
      <c r="G108" s="81">
        <f>E108/C108</f>
        <v>0.88962949761946053</v>
      </c>
      <c r="H108" s="160">
        <f t="shared" ref="H108:AE108" si="60">H109+H110</f>
        <v>0</v>
      </c>
      <c r="I108" s="160">
        <f t="shared" si="60"/>
        <v>0</v>
      </c>
      <c r="J108" s="160">
        <f t="shared" si="60"/>
        <v>0</v>
      </c>
      <c r="K108" s="160">
        <f t="shared" si="60"/>
        <v>0</v>
      </c>
      <c r="L108" s="160">
        <f t="shared" si="60"/>
        <v>0</v>
      </c>
      <c r="M108" s="160">
        <f t="shared" si="60"/>
        <v>0</v>
      </c>
      <c r="N108" s="160">
        <f t="shared" si="60"/>
        <v>4.141</v>
      </c>
      <c r="O108" s="160">
        <f t="shared" si="60"/>
        <v>0</v>
      </c>
      <c r="P108" s="160">
        <f t="shared" si="60"/>
        <v>4.141</v>
      </c>
      <c r="Q108" s="160">
        <f t="shared" si="60"/>
        <v>0</v>
      </c>
      <c r="R108" s="160">
        <f t="shared" si="60"/>
        <v>32.331800000000001</v>
      </c>
      <c r="S108" s="160">
        <f t="shared" si="60"/>
        <v>34.723999999999997</v>
      </c>
      <c r="T108" s="160">
        <f t="shared" si="60"/>
        <v>37.403449999999999</v>
      </c>
      <c r="U108" s="160">
        <f t="shared" si="60"/>
        <v>35.739999999999995</v>
      </c>
      <c r="V108" s="160">
        <f t="shared" si="60"/>
        <v>32.331800000000001</v>
      </c>
      <c r="W108" s="160">
        <f t="shared" si="60"/>
        <v>32.726440000000004</v>
      </c>
      <c r="X108" s="160">
        <f t="shared" si="60"/>
        <v>41.73892</v>
      </c>
      <c r="Y108" s="160">
        <f t="shared" si="60"/>
        <v>32.278759999999998</v>
      </c>
      <c r="Z108" s="160">
        <f t="shared" si="60"/>
        <v>32.331800000000001</v>
      </c>
      <c r="AA108" s="160">
        <f t="shared" si="60"/>
        <v>19.028290000000002</v>
      </c>
      <c r="AB108" s="160">
        <f t="shared" si="60"/>
        <v>37.30592</v>
      </c>
      <c r="AC108" s="160">
        <f t="shared" si="60"/>
        <v>42.614040000000003</v>
      </c>
      <c r="AD108" s="160">
        <f t="shared" si="60"/>
        <v>93.906559999999999</v>
      </c>
      <c r="AE108" s="160">
        <f t="shared" si="60"/>
        <v>83.684229999999999</v>
      </c>
      <c r="AF108" s="265"/>
      <c r="AG108" s="107"/>
      <c r="AH108" s="38"/>
    </row>
    <row r="109" spans="1:36" s="37" customFormat="1" ht="22.5" customHeight="1" x14ac:dyDescent="0.25">
      <c r="A109" s="103" t="s">
        <v>102</v>
      </c>
      <c r="B109" s="161">
        <f>B104</f>
        <v>64.406999999999996</v>
      </c>
      <c r="C109" s="161">
        <f t="shared" ref="C109:E109" si="61">C104</f>
        <v>64.406999999999996</v>
      </c>
      <c r="D109" s="161">
        <f t="shared" si="61"/>
        <v>57.744749999999996</v>
      </c>
      <c r="E109" s="161">
        <f t="shared" si="61"/>
        <v>57.744749999999996</v>
      </c>
      <c r="F109" s="81">
        <f t="shared" si="59"/>
        <v>0.89656015650472776</v>
      </c>
      <c r="G109" s="81">
        <f t="shared" ref="G109:G110" si="62">E109/C109</f>
        <v>0.89656015650472776</v>
      </c>
      <c r="H109" s="161">
        <f t="shared" ref="H109:AE109" si="63">H104</f>
        <v>0</v>
      </c>
      <c r="I109" s="161">
        <f t="shared" si="63"/>
        <v>0</v>
      </c>
      <c r="J109" s="161">
        <f t="shared" si="63"/>
        <v>0</v>
      </c>
      <c r="K109" s="161">
        <f t="shared" si="63"/>
        <v>0</v>
      </c>
      <c r="L109" s="161">
        <f t="shared" si="63"/>
        <v>0</v>
      </c>
      <c r="M109" s="161">
        <f t="shared" si="63"/>
        <v>0</v>
      </c>
      <c r="N109" s="161">
        <f t="shared" si="63"/>
        <v>0</v>
      </c>
      <c r="O109" s="161">
        <f t="shared" si="63"/>
        <v>0</v>
      </c>
      <c r="P109" s="161">
        <f t="shared" si="63"/>
        <v>0</v>
      </c>
      <c r="Q109" s="161">
        <f t="shared" si="63"/>
        <v>0</v>
      </c>
      <c r="R109" s="161">
        <f t="shared" si="63"/>
        <v>8.43</v>
      </c>
      <c r="S109" s="161">
        <f t="shared" si="63"/>
        <v>7.4569999999999999</v>
      </c>
      <c r="T109" s="161">
        <f t="shared" si="63"/>
        <v>8.43</v>
      </c>
      <c r="U109" s="161">
        <f t="shared" si="63"/>
        <v>5.77</v>
      </c>
      <c r="V109" s="161">
        <f t="shared" si="63"/>
        <v>8.43</v>
      </c>
      <c r="W109" s="161">
        <f t="shared" si="63"/>
        <v>6.6184500000000002</v>
      </c>
      <c r="X109" s="161">
        <f t="shared" si="63"/>
        <v>8.43</v>
      </c>
      <c r="Y109" s="161">
        <f t="shared" si="63"/>
        <v>5.45</v>
      </c>
      <c r="Z109" s="161">
        <f t="shared" si="63"/>
        <v>8.43</v>
      </c>
      <c r="AA109" s="161">
        <f t="shared" si="63"/>
        <v>0</v>
      </c>
      <c r="AB109" s="161">
        <f t="shared" si="63"/>
        <v>8.43</v>
      </c>
      <c r="AC109" s="161">
        <f t="shared" si="63"/>
        <v>11.877050000000001</v>
      </c>
      <c r="AD109" s="161">
        <f t="shared" si="63"/>
        <v>13.827</v>
      </c>
      <c r="AE109" s="161">
        <f t="shared" si="63"/>
        <v>20.57225</v>
      </c>
      <c r="AF109" s="265"/>
      <c r="AG109" s="108"/>
      <c r="AH109" s="38"/>
    </row>
    <row r="110" spans="1:36" s="37" customFormat="1" ht="22.5" customHeight="1" x14ac:dyDescent="0.25">
      <c r="A110" s="103" t="s">
        <v>103</v>
      </c>
      <c r="B110" s="161">
        <f>B105+B107</f>
        <v>251.22525000000005</v>
      </c>
      <c r="C110" s="161">
        <f>C105+C107</f>
        <v>251.22525000000005</v>
      </c>
      <c r="D110" s="161">
        <f t="shared" ref="D110:E110" si="64">D105+D107</f>
        <v>223.05101000000002</v>
      </c>
      <c r="E110" s="161">
        <f t="shared" si="64"/>
        <v>223.05101000000002</v>
      </c>
      <c r="F110" s="210">
        <f>E110/B110</f>
        <v>0.88785267404450774</v>
      </c>
      <c r="G110" s="210">
        <f t="shared" si="62"/>
        <v>0.88785267404450774</v>
      </c>
      <c r="H110" s="161">
        <f t="shared" ref="H110:AE110" si="65">H105+H107</f>
        <v>0</v>
      </c>
      <c r="I110" s="161">
        <f t="shared" si="65"/>
        <v>0</v>
      </c>
      <c r="J110" s="161">
        <f t="shared" si="65"/>
        <v>0</v>
      </c>
      <c r="K110" s="161">
        <f t="shared" si="65"/>
        <v>0</v>
      </c>
      <c r="L110" s="161">
        <f t="shared" si="65"/>
        <v>0</v>
      </c>
      <c r="M110" s="161">
        <f t="shared" si="65"/>
        <v>0</v>
      </c>
      <c r="N110" s="161">
        <f t="shared" si="65"/>
        <v>4.141</v>
      </c>
      <c r="O110" s="161">
        <f t="shared" si="65"/>
        <v>0</v>
      </c>
      <c r="P110" s="161">
        <f t="shared" si="65"/>
        <v>4.141</v>
      </c>
      <c r="Q110" s="161">
        <f t="shared" si="65"/>
        <v>0</v>
      </c>
      <c r="R110" s="161">
        <f t="shared" si="65"/>
        <v>23.901800000000001</v>
      </c>
      <c r="S110" s="161">
        <f t="shared" si="65"/>
        <v>27.266999999999999</v>
      </c>
      <c r="T110" s="161">
        <f t="shared" si="65"/>
        <v>28.97345</v>
      </c>
      <c r="U110" s="161">
        <f t="shared" si="65"/>
        <v>29.97</v>
      </c>
      <c r="V110" s="161">
        <f t="shared" si="65"/>
        <v>23.901800000000001</v>
      </c>
      <c r="W110" s="161">
        <f t="shared" si="65"/>
        <v>26.107990000000001</v>
      </c>
      <c r="X110" s="161">
        <f t="shared" si="65"/>
        <v>33.308920000000001</v>
      </c>
      <c r="Y110" s="161">
        <f t="shared" si="65"/>
        <v>26.828759999999999</v>
      </c>
      <c r="Z110" s="161">
        <f t="shared" si="65"/>
        <v>23.901800000000001</v>
      </c>
      <c r="AA110" s="161">
        <f t="shared" si="65"/>
        <v>19.028290000000002</v>
      </c>
      <c r="AB110" s="161">
        <f t="shared" si="65"/>
        <v>28.875920000000001</v>
      </c>
      <c r="AC110" s="161">
        <f t="shared" si="65"/>
        <v>30.736989999999999</v>
      </c>
      <c r="AD110" s="161">
        <f t="shared" si="65"/>
        <v>80.079560000000001</v>
      </c>
      <c r="AE110" s="161">
        <f t="shared" si="65"/>
        <v>63.111980000000003</v>
      </c>
      <c r="AF110" s="266"/>
      <c r="AG110" s="108"/>
      <c r="AH110" s="285"/>
      <c r="AI110" s="285"/>
      <c r="AJ110" s="285"/>
    </row>
    <row r="111" spans="1:36" s="37" customFormat="1" ht="22.5" customHeight="1" x14ac:dyDescent="0.25">
      <c r="A111" s="109" t="s">
        <v>148</v>
      </c>
      <c r="B111" s="164"/>
      <c r="C111" s="164"/>
      <c r="D111" s="164"/>
      <c r="E111" s="164"/>
      <c r="F111" s="104"/>
      <c r="G111" s="104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267" t="s">
        <v>171</v>
      </c>
      <c r="AH111" s="38"/>
    </row>
    <row r="112" spans="1:36" s="37" customFormat="1" ht="39" customHeight="1" x14ac:dyDescent="0.25">
      <c r="A112" s="100" t="s">
        <v>121</v>
      </c>
      <c r="B112" s="152"/>
      <c r="C112" s="152"/>
      <c r="D112" s="152"/>
      <c r="E112" s="152"/>
      <c r="F112" s="95"/>
      <c r="G112" s="95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265"/>
      <c r="AH112" s="38"/>
    </row>
    <row r="113" spans="1:36" s="37" customFormat="1" ht="15.75" customHeight="1" x14ac:dyDescent="0.25">
      <c r="A113" s="101" t="s">
        <v>122</v>
      </c>
      <c r="B113" s="160">
        <f>B115+B114</f>
        <v>832.49763999999993</v>
      </c>
      <c r="C113" s="160">
        <f>C115+C114</f>
        <v>832.49763999999993</v>
      </c>
      <c r="D113" s="160">
        <f>D115+D114</f>
        <v>395.98124999999999</v>
      </c>
      <c r="E113" s="160">
        <f>E115+E114</f>
        <v>395.98124999999999</v>
      </c>
      <c r="F113" s="102">
        <f>E113/B113</f>
        <v>0.47565450155510353</v>
      </c>
      <c r="G113" s="102">
        <f>E113/C113</f>
        <v>0.47565450155510353</v>
      </c>
      <c r="H113" s="167">
        <f>H115+H114</f>
        <v>0</v>
      </c>
      <c r="I113" s="167">
        <f>I115+I114</f>
        <v>0</v>
      </c>
      <c r="J113" s="167">
        <f>J115+J114</f>
        <v>0</v>
      </c>
      <c r="K113" s="167">
        <f t="shared" ref="K113:M113" si="66">K115+K114</f>
        <v>0</v>
      </c>
      <c r="L113" s="167">
        <f t="shared" si="66"/>
        <v>0</v>
      </c>
      <c r="M113" s="167">
        <f t="shared" si="66"/>
        <v>0</v>
      </c>
      <c r="N113" s="167">
        <f>N115+N114</f>
        <v>0</v>
      </c>
      <c r="O113" s="167">
        <f>O115+O114</f>
        <v>0</v>
      </c>
      <c r="P113" s="167">
        <f>P115+P114</f>
        <v>0</v>
      </c>
      <c r="Q113" s="167">
        <f t="shared" ref="Q113:AB113" si="67">Q115+Q114</f>
        <v>6.4</v>
      </c>
      <c r="R113" s="167">
        <f t="shared" si="67"/>
        <v>102.48</v>
      </c>
      <c r="S113" s="167">
        <f t="shared" si="67"/>
        <v>33.813000000000002</v>
      </c>
      <c r="T113" s="167">
        <f t="shared" si="67"/>
        <v>102.48</v>
      </c>
      <c r="U113" s="167">
        <f t="shared" si="67"/>
        <v>84.2</v>
      </c>
      <c r="V113" s="167">
        <f t="shared" si="67"/>
        <v>102.48</v>
      </c>
      <c r="W113" s="167">
        <f t="shared" si="67"/>
        <v>74.010120000000001</v>
      </c>
      <c r="X113" s="167">
        <f t="shared" si="67"/>
        <v>102.48</v>
      </c>
      <c r="Y113" s="167">
        <f t="shared" si="67"/>
        <v>79.813499999999991</v>
      </c>
      <c r="Z113" s="167">
        <f t="shared" si="67"/>
        <v>102.48</v>
      </c>
      <c r="AA113" s="167">
        <f t="shared" si="67"/>
        <v>43.963140000000003</v>
      </c>
      <c r="AB113" s="167">
        <f t="shared" si="67"/>
        <v>102.48</v>
      </c>
      <c r="AC113" s="167">
        <f>AC115+AC114</f>
        <v>23.607010000000002</v>
      </c>
      <c r="AD113" s="167">
        <f>AD115+AD114</f>
        <v>217.61763999999999</v>
      </c>
      <c r="AE113" s="167">
        <f>AE115+AE114</f>
        <v>50.174480000000003</v>
      </c>
      <c r="AF113" s="265"/>
      <c r="AH113" s="38"/>
    </row>
    <row r="114" spans="1:36" s="37" customFormat="1" ht="21.75" customHeight="1" x14ac:dyDescent="0.25">
      <c r="A114" s="103" t="s">
        <v>102</v>
      </c>
      <c r="B114" s="161">
        <f>H114+J114+L114+N114+P114+R114+T114+V114+X114+Z114+AB114+AD114</f>
        <v>198.506</v>
      </c>
      <c r="C114" s="162">
        <f>H114+J114+L114+N114+P114+R114+T114+V114+X114+Z114+AB114+AD114</f>
        <v>198.506</v>
      </c>
      <c r="D114" s="162">
        <f>E114</f>
        <v>97.983809999999991</v>
      </c>
      <c r="E114" s="162">
        <f>I114+K114+M114+O114+Q114+S114+U114+W114+Y114+AA114+AC114+AE114</f>
        <v>97.983809999999991</v>
      </c>
      <c r="F114" s="81">
        <f>E114/B114</f>
        <v>0.49360628897867065</v>
      </c>
      <c r="G114" s="81">
        <f>E114/C114</f>
        <v>0.49360628897867065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>
        <v>22.48</v>
      </c>
      <c r="S114" s="118">
        <v>22.48</v>
      </c>
      <c r="T114" s="118">
        <v>22.48</v>
      </c>
      <c r="U114" s="118">
        <v>22.48</v>
      </c>
      <c r="V114" s="118">
        <v>22.48</v>
      </c>
      <c r="W114" s="118">
        <v>18.64874</v>
      </c>
      <c r="X114" s="118">
        <v>22.48</v>
      </c>
      <c r="Y114" s="118">
        <v>2.1440999999999999</v>
      </c>
      <c r="Z114" s="118">
        <v>22.48</v>
      </c>
      <c r="AA114" s="118"/>
      <c r="AB114" s="118">
        <v>22.48</v>
      </c>
      <c r="AC114" s="118">
        <v>11.06902</v>
      </c>
      <c r="AD114" s="118">
        <f>67.44-3.814</f>
        <v>63.625999999999998</v>
      </c>
      <c r="AE114" s="118">
        <v>21.161950000000001</v>
      </c>
      <c r="AF114" s="265"/>
      <c r="AH114" s="38"/>
    </row>
    <row r="115" spans="1:36" s="37" customFormat="1" ht="22.5" customHeight="1" x14ac:dyDescent="0.25">
      <c r="A115" s="103" t="s">
        <v>103</v>
      </c>
      <c r="B115" s="161">
        <f>H115+J115+L115+N115+P115+R115+T115+V115+X115+Z115+AB115+AD115</f>
        <v>633.99163999999996</v>
      </c>
      <c r="C115" s="162">
        <f>H115+J115+L115+N115+P115+R115+T115+V115+X115+Z115+AB115+AD115</f>
        <v>633.99163999999996</v>
      </c>
      <c r="D115" s="162">
        <f>E115</f>
        <v>297.99743999999998</v>
      </c>
      <c r="E115" s="162">
        <f>I115+K115+M115+O115+Q115+S115+U115+W115+Y115+AA115+AC115+AE115</f>
        <v>297.99743999999998</v>
      </c>
      <c r="F115" s="81">
        <f>E115/B115</f>
        <v>0.47003370580722487</v>
      </c>
      <c r="G115" s="81">
        <f>E115/C115</f>
        <v>0.47003370580722487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>
        <v>6.4</v>
      </c>
      <c r="R115" s="118">
        <v>80</v>
      </c>
      <c r="S115" s="118">
        <v>11.333</v>
      </c>
      <c r="T115" s="118">
        <v>80</v>
      </c>
      <c r="U115" s="118">
        <v>61.72</v>
      </c>
      <c r="V115" s="118">
        <v>80</v>
      </c>
      <c r="W115" s="118">
        <v>55.361379999999997</v>
      </c>
      <c r="X115" s="118">
        <v>80</v>
      </c>
      <c r="Y115" s="118">
        <v>77.669399999999996</v>
      </c>
      <c r="Z115" s="118">
        <v>80</v>
      </c>
      <c r="AA115" s="118">
        <f>43.96314</f>
        <v>43.963140000000003</v>
      </c>
      <c r="AB115" s="118">
        <v>80</v>
      </c>
      <c r="AC115" s="118">
        <v>12.537990000000001</v>
      </c>
      <c r="AD115" s="118">
        <v>153.99163999999999</v>
      </c>
      <c r="AE115" s="118">
        <v>29.012530000000002</v>
      </c>
      <c r="AF115" s="265"/>
      <c r="AH115" s="38"/>
    </row>
    <row r="116" spans="1:36" s="37" customFormat="1" ht="102.75" customHeight="1" x14ac:dyDescent="0.25">
      <c r="A116" s="100" t="s">
        <v>123</v>
      </c>
      <c r="B116" s="152"/>
      <c r="C116" s="152"/>
      <c r="D116" s="152"/>
      <c r="E116" s="152"/>
      <c r="F116" s="95"/>
      <c r="G116" s="95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265"/>
      <c r="AH116" s="105"/>
      <c r="AI116" s="106"/>
    </row>
    <row r="117" spans="1:36" s="37" customFormat="1" ht="22.5" customHeight="1" x14ac:dyDescent="0.25">
      <c r="A117" s="103" t="s">
        <v>103</v>
      </c>
      <c r="B117" s="161">
        <f>H117+J117+L117+N117+P117+R117+T117+V117+X117+Z117+AB117+AD117</f>
        <v>35.463999999999999</v>
      </c>
      <c r="C117" s="162">
        <f>H117+J117+L117+N117+P117+R117+T117+V117+X117+Z117+AB117+AD117</f>
        <v>35.463999999999999</v>
      </c>
      <c r="D117" s="163">
        <f>E117</f>
        <v>20.341360000000002</v>
      </c>
      <c r="E117" s="162">
        <f>I117+K117+M117+O117+Q117+S117+U117+W117+Y117+AA117+AC117+AE117</f>
        <v>20.341360000000002</v>
      </c>
      <c r="F117" s="81">
        <f>E117/B117</f>
        <v>0.5735777126099707</v>
      </c>
      <c r="G117" s="81">
        <f>E117/C117</f>
        <v>0.5735777126099707</v>
      </c>
      <c r="H117" s="118"/>
      <c r="I117" s="118"/>
      <c r="J117" s="118"/>
      <c r="K117" s="118"/>
      <c r="L117" s="118"/>
      <c r="M117" s="118"/>
      <c r="N117" s="118">
        <f>4.433</f>
        <v>4.4329999999999998</v>
      </c>
      <c r="O117" s="118"/>
      <c r="P117" s="118">
        <v>4.4329999999999998</v>
      </c>
      <c r="Q117" s="118"/>
      <c r="R117" s="118">
        <f>4.433</f>
        <v>4.4329999999999998</v>
      </c>
      <c r="S117" s="118">
        <v>12.856</v>
      </c>
      <c r="T117" s="118">
        <v>4.4329999999999998</v>
      </c>
      <c r="U117" s="118"/>
      <c r="V117" s="118">
        <v>4.4329999999999998</v>
      </c>
      <c r="W117" s="118"/>
      <c r="X117" s="118">
        <v>4.4329999999999998</v>
      </c>
      <c r="Y117" s="118">
        <v>6.4770300000000001</v>
      </c>
      <c r="Z117" s="118">
        <v>4.4329999999999998</v>
      </c>
      <c r="AA117" s="118"/>
      <c r="AB117" s="118">
        <v>4.4329999999999998</v>
      </c>
      <c r="AC117" s="118"/>
      <c r="AD117" s="118"/>
      <c r="AE117" s="118">
        <v>1.0083299999999999</v>
      </c>
      <c r="AF117" s="265"/>
      <c r="AH117" s="105"/>
      <c r="AI117" s="106"/>
    </row>
    <row r="118" spans="1:36" s="37" customFormat="1" ht="22.5" customHeight="1" x14ac:dyDescent="0.25">
      <c r="A118" s="126" t="s">
        <v>149</v>
      </c>
      <c r="B118" s="160">
        <f>B119+B120</f>
        <v>867.96163999999987</v>
      </c>
      <c r="C118" s="160">
        <f t="shared" ref="C118:E118" si="68">C119+C120</f>
        <v>867.96163999999987</v>
      </c>
      <c r="D118" s="160">
        <f t="shared" si="68"/>
        <v>416.32261</v>
      </c>
      <c r="E118" s="160">
        <f t="shared" si="68"/>
        <v>416.32261</v>
      </c>
      <c r="F118" s="81">
        <f t="shared" ref="F118:F119" si="69">E118/B118</f>
        <v>0.47965554099833269</v>
      </c>
      <c r="G118" s="81">
        <f>E118/C118</f>
        <v>0.47965554099833269</v>
      </c>
      <c r="H118" s="160">
        <f t="shared" ref="H118:AE118" si="70">H119+H120</f>
        <v>0</v>
      </c>
      <c r="I118" s="160">
        <f t="shared" si="70"/>
        <v>0</v>
      </c>
      <c r="J118" s="160">
        <f t="shared" si="70"/>
        <v>0</v>
      </c>
      <c r="K118" s="160">
        <f t="shared" si="70"/>
        <v>0</v>
      </c>
      <c r="L118" s="160">
        <f t="shared" si="70"/>
        <v>0</v>
      </c>
      <c r="M118" s="160">
        <f t="shared" si="70"/>
        <v>0</v>
      </c>
      <c r="N118" s="160">
        <f t="shared" si="70"/>
        <v>4.4329999999999998</v>
      </c>
      <c r="O118" s="160">
        <f t="shared" si="70"/>
        <v>0</v>
      </c>
      <c r="P118" s="160">
        <f t="shared" si="70"/>
        <v>4.4329999999999998</v>
      </c>
      <c r="Q118" s="160">
        <f t="shared" si="70"/>
        <v>6.4</v>
      </c>
      <c r="R118" s="160">
        <f t="shared" si="70"/>
        <v>106.913</v>
      </c>
      <c r="S118" s="160">
        <f t="shared" si="70"/>
        <v>46.668999999999997</v>
      </c>
      <c r="T118" s="160">
        <f t="shared" si="70"/>
        <v>106.913</v>
      </c>
      <c r="U118" s="160">
        <f t="shared" si="70"/>
        <v>84.2</v>
      </c>
      <c r="V118" s="160">
        <f t="shared" si="70"/>
        <v>106.913</v>
      </c>
      <c r="W118" s="160">
        <f t="shared" si="70"/>
        <v>74.010120000000001</v>
      </c>
      <c r="X118" s="160">
        <f t="shared" si="70"/>
        <v>106.913</v>
      </c>
      <c r="Y118" s="160">
        <f t="shared" si="70"/>
        <v>86.29052999999999</v>
      </c>
      <c r="Z118" s="160">
        <f t="shared" si="70"/>
        <v>106.913</v>
      </c>
      <c r="AA118" s="160">
        <f t="shared" si="70"/>
        <v>43.963140000000003</v>
      </c>
      <c r="AB118" s="160">
        <f t="shared" si="70"/>
        <v>106.913</v>
      </c>
      <c r="AC118" s="160">
        <f t="shared" si="70"/>
        <v>23.607010000000002</v>
      </c>
      <c r="AD118" s="160">
        <f t="shared" si="70"/>
        <v>217.61763999999999</v>
      </c>
      <c r="AE118" s="160">
        <f t="shared" si="70"/>
        <v>51.182810000000003</v>
      </c>
      <c r="AF118" s="265"/>
      <c r="AG118" s="107"/>
      <c r="AH118" s="38"/>
    </row>
    <row r="119" spans="1:36" s="37" customFormat="1" ht="22.5" customHeight="1" x14ac:dyDescent="0.25">
      <c r="A119" s="103" t="s">
        <v>102</v>
      </c>
      <c r="B119" s="161">
        <f>B114</f>
        <v>198.506</v>
      </c>
      <c r="C119" s="161">
        <f t="shared" ref="C119:E119" si="71">C114</f>
        <v>198.506</v>
      </c>
      <c r="D119" s="161">
        <f t="shared" si="71"/>
        <v>97.983809999999991</v>
      </c>
      <c r="E119" s="161">
        <f t="shared" si="71"/>
        <v>97.983809999999991</v>
      </c>
      <c r="F119" s="81">
        <f t="shared" si="69"/>
        <v>0.49360628897867065</v>
      </c>
      <c r="G119" s="81">
        <f t="shared" ref="G119:G120" si="72">E119/C119</f>
        <v>0.49360628897867065</v>
      </c>
      <c r="H119" s="161">
        <f t="shared" ref="H119:AE119" si="73">H114</f>
        <v>0</v>
      </c>
      <c r="I119" s="161">
        <f t="shared" si="73"/>
        <v>0</v>
      </c>
      <c r="J119" s="161">
        <f t="shared" si="73"/>
        <v>0</v>
      </c>
      <c r="K119" s="161">
        <f t="shared" si="73"/>
        <v>0</v>
      </c>
      <c r="L119" s="161">
        <f t="shared" si="73"/>
        <v>0</v>
      </c>
      <c r="M119" s="161">
        <f t="shared" si="73"/>
        <v>0</v>
      </c>
      <c r="N119" s="161">
        <f t="shared" si="73"/>
        <v>0</v>
      </c>
      <c r="O119" s="161">
        <f t="shared" si="73"/>
        <v>0</v>
      </c>
      <c r="P119" s="161">
        <f t="shared" si="73"/>
        <v>0</v>
      </c>
      <c r="Q119" s="161">
        <f t="shared" si="73"/>
        <v>0</v>
      </c>
      <c r="R119" s="161">
        <f t="shared" si="73"/>
        <v>22.48</v>
      </c>
      <c r="S119" s="161">
        <f t="shared" si="73"/>
        <v>22.48</v>
      </c>
      <c r="T119" s="161">
        <f t="shared" si="73"/>
        <v>22.48</v>
      </c>
      <c r="U119" s="161">
        <f t="shared" si="73"/>
        <v>22.48</v>
      </c>
      <c r="V119" s="161">
        <f t="shared" si="73"/>
        <v>22.48</v>
      </c>
      <c r="W119" s="161">
        <f t="shared" si="73"/>
        <v>18.64874</v>
      </c>
      <c r="X119" s="161">
        <f t="shared" si="73"/>
        <v>22.48</v>
      </c>
      <c r="Y119" s="161">
        <f t="shared" si="73"/>
        <v>2.1440999999999999</v>
      </c>
      <c r="Z119" s="161">
        <f t="shared" si="73"/>
        <v>22.48</v>
      </c>
      <c r="AA119" s="161">
        <f t="shared" si="73"/>
        <v>0</v>
      </c>
      <c r="AB119" s="161">
        <f t="shared" si="73"/>
        <v>22.48</v>
      </c>
      <c r="AC119" s="161">
        <f t="shared" si="73"/>
        <v>11.06902</v>
      </c>
      <c r="AD119" s="161">
        <f t="shared" si="73"/>
        <v>63.625999999999998</v>
      </c>
      <c r="AE119" s="161">
        <f t="shared" si="73"/>
        <v>21.161950000000001</v>
      </c>
      <c r="AF119" s="265"/>
      <c r="AG119" s="108"/>
      <c r="AH119" s="38"/>
    </row>
    <row r="120" spans="1:36" s="37" customFormat="1" ht="22.5" customHeight="1" x14ac:dyDescent="0.25">
      <c r="A120" s="103" t="s">
        <v>103</v>
      </c>
      <c r="B120" s="161">
        <f>B115+B117</f>
        <v>669.4556399999999</v>
      </c>
      <c r="C120" s="161">
        <f>C115+C117</f>
        <v>669.4556399999999</v>
      </c>
      <c r="D120" s="161">
        <f t="shared" ref="D120:E120" si="74">D115+D117</f>
        <v>318.33879999999999</v>
      </c>
      <c r="E120" s="161">
        <f t="shared" si="74"/>
        <v>318.33879999999999</v>
      </c>
      <c r="F120" s="210">
        <f>E120/B120</f>
        <v>0.47551888576216944</v>
      </c>
      <c r="G120" s="210">
        <f t="shared" si="72"/>
        <v>0.47551888576216944</v>
      </c>
      <c r="H120" s="161">
        <f t="shared" ref="H120:AE120" si="75">H115+H117</f>
        <v>0</v>
      </c>
      <c r="I120" s="161">
        <f t="shared" si="75"/>
        <v>0</v>
      </c>
      <c r="J120" s="161">
        <f t="shared" si="75"/>
        <v>0</v>
      </c>
      <c r="K120" s="161">
        <f t="shared" si="75"/>
        <v>0</v>
      </c>
      <c r="L120" s="161">
        <f t="shared" si="75"/>
        <v>0</v>
      </c>
      <c r="M120" s="161">
        <f t="shared" si="75"/>
        <v>0</v>
      </c>
      <c r="N120" s="161">
        <f t="shared" si="75"/>
        <v>4.4329999999999998</v>
      </c>
      <c r="O120" s="161">
        <f t="shared" si="75"/>
        <v>0</v>
      </c>
      <c r="P120" s="161">
        <f t="shared" si="75"/>
        <v>4.4329999999999998</v>
      </c>
      <c r="Q120" s="161">
        <f t="shared" si="75"/>
        <v>6.4</v>
      </c>
      <c r="R120" s="161">
        <f t="shared" si="75"/>
        <v>84.432999999999993</v>
      </c>
      <c r="S120" s="161">
        <f t="shared" si="75"/>
        <v>24.189</v>
      </c>
      <c r="T120" s="161">
        <f t="shared" si="75"/>
        <v>84.432999999999993</v>
      </c>
      <c r="U120" s="161">
        <f t="shared" si="75"/>
        <v>61.72</v>
      </c>
      <c r="V120" s="161">
        <f t="shared" si="75"/>
        <v>84.432999999999993</v>
      </c>
      <c r="W120" s="161">
        <f t="shared" si="75"/>
        <v>55.361379999999997</v>
      </c>
      <c r="X120" s="161">
        <f t="shared" si="75"/>
        <v>84.432999999999993</v>
      </c>
      <c r="Y120" s="161">
        <f t="shared" si="75"/>
        <v>84.146429999999995</v>
      </c>
      <c r="Z120" s="161">
        <f t="shared" si="75"/>
        <v>84.432999999999993</v>
      </c>
      <c r="AA120" s="161">
        <f t="shared" si="75"/>
        <v>43.963140000000003</v>
      </c>
      <c r="AB120" s="161">
        <f t="shared" si="75"/>
        <v>84.432999999999993</v>
      </c>
      <c r="AC120" s="161">
        <f t="shared" si="75"/>
        <v>12.537990000000001</v>
      </c>
      <c r="AD120" s="161">
        <f t="shared" si="75"/>
        <v>153.99163999999999</v>
      </c>
      <c r="AE120" s="161">
        <f t="shared" si="75"/>
        <v>30.020860000000003</v>
      </c>
      <c r="AF120" s="266"/>
      <c r="AG120" s="108"/>
      <c r="AH120" s="285"/>
      <c r="AI120" s="285"/>
      <c r="AJ120" s="285"/>
    </row>
    <row r="121" spans="1:36" s="37" customFormat="1" ht="22.5" customHeight="1" x14ac:dyDescent="0.25">
      <c r="A121" s="227" t="s">
        <v>150</v>
      </c>
      <c r="B121" s="166">
        <f>B122+B123</f>
        <v>2142.8611900000001</v>
      </c>
      <c r="C121" s="166">
        <f t="shared" ref="C121:E121" si="76">C122+C123</f>
        <v>2142.8611900000001</v>
      </c>
      <c r="D121" s="166">
        <f t="shared" si="76"/>
        <v>1444.7371499999999</v>
      </c>
      <c r="E121" s="166">
        <f t="shared" si="76"/>
        <v>1444.7371499999999</v>
      </c>
      <c r="F121" s="202">
        <f t="shared" ref="F121:F122" si="77">E121/B121</f>
        <v>0.67420939664318613</v>
      </c>
      <c r="G121" s="202">
        <f>E121/C121</f>
        <v>0.67420939664318613</v>
      </c>
      <c r="H121" s="166">
        <f>H122+H123</f>
        <v>0</v>
      </c>
      <c r="I121" s="166">
        <f>I122+I123</f>
        <v>0</v>
      </c>
      <c r="J121" s="166">
        <f t="shared" ref="J121:AE121" si="78">J122+J123</f>
        <v>0</v>
      </c>
      <c r="K121" s="166">
        <f t="shared" si="78"/>
        <v>0</v>
      </c>
      <c r="L121" s="166">
        <f t="shared" si="78"/>
        <v>0</v>
      </c>
      <c r="M121" s="166">
        <f t="shared" si="78"/>
        <v>0</v>
      </c>
      <c r="N121" s="166">
        <f t="shared" si="78"/>
        <v>8.5739999999999998</v>
      </c>
      <c r="O121" s="166">
        <f t="shared" si="78"/>
        <v>0</v>
      </c>
      <c r="P121" s="166">
        <f t="shared" si="78"/>
        <v>15.78989</v>
      </c>
      <c r="Q121" s="166">
        <f t="shared" si="78"/>
        <v>9.5</v>
      </c>
      <c r="R121" s="166">
        <f t="shared" si="78"/>
        <v>239.78064000000001</v>
      </c>
      <c r="S121" s="166">
        <f t="shared" si="78"/>
        <v>153.77500000000001</v>
      </c>
      <c r="T121" s="166">
        <f t="shared" si="78"/>
        <v>269.82159999999999</v>
      </c>
      <c r="U121" s="166">
        <f t="shared" si="78"/>
        <v>237.33999999999997</v>
      </c>
      <c r="V121" s="166">
        <f t="shared" si="78"/>
        <v>236.23655000000002</v>
      </c>
      <c r="W121" s="166">
        <f t="shared" si="78"/>
        <v>182.45116000000002</v>
      </c>
      <c r="X121" s="166">
        <f t="shared" si="78"/>
        <v>270.32038999999997</v>
      </c>
      <c r="Y121" s="166">
        <f t="shared" si="78"/>
        <v>247.06660999999997</v>
      </c>
      <c r="Z121" s="166">
        <f t="shared" si="78"/>
        <v>236.23653999999999</v>
      </c>
      <c r="AA121" s="166">
        <f t="shared" si="78"/>
        <v>138.85362000000001</v>
      </c>
      <c r="AB121" s="166">
        <f t="shared" si="78"/>
        <v>264.99847999999997</v>
      </c>
      <c r="AC121" s="166">
        <f t="shared" si="78"/>
        <v>183.79239000000001</v>
      </c>
      <c r="AD121" s="166">
        <f t="shared" si="78"/>
        <v>601.10309999999993</v>
      </c>
      <c r="AE121" s="166">
        <f t="shared" si="78"/>
        <v>291.95837</v>
      </c>
      <c r="AF121" s="265"/>
      <c r="AG121" s="107"/>
      <c r="AH121" s="38"/>
    </row>
    <row r="122" spans="1:36" s="37" customFormat="1" ht="22.5" customHeight="1" x14ac:dyDescent="0.25">
      <c r="A122" s="103" t="s">
        <v>102</v>
      </c>
      <c r="B122" s="161">
        <f>B89+B99+B109+B119</f>
        <v>460.05999999999995</v>
      </c>
      <c r="C122" s="161">
        <f>C89+C99+C109+C119</f>
        <v>460.05999999999995</v>
      </c>
      <c r="D122" s="161">
        <f t="shared" ref="C122:E123" si="79">D89+D99+D109+D119</f>
        <v>302.51237000000003</v>
      </c>
      <c r="E122" s="161">
        <f t="shared" si="79"/>
        <v>302.51237000000003</v>
      </c>
      <c r="F122" s="81">
        <f t="shared" si="77"/>
        <v>0.65754981958874947</v>
      </c>
      <c r="G122" s="81">
        <f t="shared" ref="G122:G123" si="80">E122/C122</f>
        <v>0.65754981958874947</v>
      </c>
      <c r="H122" s="161">
        <f t="shared" ref="H122:AE123" si="81">H89+H99+H109+H119</f>
        <v>0</v>
      </c>
      <c r="I122" s="161">
        <f t="shared" si="81"/>
        <v>0</v>
      </c>
      <c r="J122" s="161">
        <f t="shared" si="81"/>
        <v>0</v>
      </c>
      <c r="K122" s="161">
        <f t="shared" si="81"/>
        <v>0</v>
      </c>
      <c r="L122" s="161">
        <f t="shared" si="81"/>
        <v>0</v>
      </c>
      <c r="M122" s="161">
        <f t="shared" si="81"/>
        <v>0</v>
      </c>
      <c r="N122" s="161">
        <f t="shared" si="81"/>
        <v>0</v>
      </c>
      <c r="O122" s="161">
        <f t="shared" si="81"/>
        <v>0</v>
      </c>
      <c r="P122" s="161">
        <f t="shared" si="81"/>
        <v>0.79947000000000001</v>
      </c>
      <c r="Q122" s="161">
        <f t="shared" si="81"/>
        <v>0.8</v>
      </c>
      <c r="R122" s="161">
        <f t="shared" si="81"/>
        <v>56.2</v>
      </c>
      <c r="S122" s="161">
        <f t="shared" si="81"/>
        <v>46.792000000000002</v>
      </c>
      <c r="T122" s="161">
        <f t="shared" si="81"/>
        <v>56.2</v>
      </c>
      <c r="U122" s="161">
        <f t="shared" si="81"/>
        <v>54.19</v>
      </c>
      <c r="V122" s="161">
        <f t="shared" si="81"/>
        <v>56.2</v>
      </c>
      <c r="W122" s="161">
        <f t="shared" si="81"/>
        <v>44.578029999999998</v>
      </c>
      <c r="X122" s="161">
        <f t="shared" si="81"/>
        <v>56.2</v>
      </c>
      <c r="Y122" s="161">
        <f t="shared" si="81"/>
        <v>20.564100000000003</v>
      </c>
      <c r="Z122" s="161">
        <f t="shared" si="81"/>
        <v>56.2</v>
      </c>
      <c r="AA122" s="161">
        <f t="shared" si="81"/>
        <v>0</v>
      </c>
      <c r="AB122" s="161">
        <f t="shared" si="81"/>
        <v>56.2</v>
      </c>
      <c r="AC122" s="161">
        <f t="shared" si="81"/>
        <v>52.50235</v>
      </c>
      <c r="AD122" s="161">
        <f t="shared" si="81"/>
        <v>122.06053</v>
      </c>
      <c r="AE122" s="161">
        <f t="shared" si="81"/>
        <v>83.085890000000006</v>
      </c>
      <c r="AF122" s="265"/>
      <c r="AG122" s="108"/>
      <c r="AH122" s="38"/>
    </row>
    <row r="123" spans="1:36" s="37" customFormat="1" ht="22.5" customHeight="1" x14ac:dyDescent="0.25">
      <c r="A123" s="103" t="s">
        <v>103</v>
      </c>
      <c r="B123" s="161">
        <f>B90+B100+B110+B120</f>
        <v>1682.8011900000001</v>
      </c>
      <c r="C123" s="161">
        <f t="shared" si="79"/>
        <v>1682.8011900000001</v>
      </c>
      <c r="D123" s="161">
        <f t="shared" si="79"/>
        <v>1142.22478</v>
      </c>
      <c r="E123" s="161">
        <f t="shared" si="79"/>
        <v>1142.22478</v>
      </c>
      <c r="F123" s="210">
        <f>E123/B123</f>
        <v>0.67876394834258458</v>
      </c>
      <c r="G123" s="210">
        <f t="shared" si="80"/>
        <v>0.67876394834258458</v>
      </c>
      <c r="H123" s="161">
        <f>H90+H100+H110+H120</f>
        <v>0</v>
      </c>
      <c r="I123" s="161">
        <f t="shared" si="81"/>
        <v>0</v>
      </c>
      <c r="J123" s="161">
        <f t="shared" si="81"/>
        <v>0</v>
      </c>
      <c r="K123" s="161">
        <f t="shared" si="81"/>
        <v>0</v>
      </c>
      <c r="L123" s="161">
        <f t="shared" si="81"/>
        <v>0</v>
      </c>
      <c r="M123" s="161">
        <f t="shared" si="81"/>
        <v>0</v>
      </c>
      <c r="N123" s="161">
        <f t="shared" si="81"/>
        <v>8.5739999999999998</v>
      </c>
      <c r="O123" s="161">
        <f t="shared" si="81"/>
        <v>0</v>
      </c>
      <c r="P123" s="161">
        <f t="shared" si="81"/>
        <v>14.99042</v>
      </c>
      <c r="Q123" s="161">
        <f t="shared" si="81"/>
        <v>8.6999999999999993</v>
      </c>
      <c r="R123" s="161">
        <f t="shared" si="81"/>
        <v>183.58063999999999</v>
      </c>
      <c r="S123" s="161">
        <f t="shared" si="81"/>
        <v>106.983</v>
      </c>
      <c r="T123" s="161">
        <f t="shared" si="81"/>
        <v>213.6216</v>
      </c>
      <c r="U123" s="161">
        <f>U90+U100+U110+U120</f>
        <v>183.14999999999998</v>
      </c>
      <c r="V123" s="161">
        <f t="shared" si="81"/>
        <v>180.03655000000001</v>
      </c>
      <c r="W123" s="161">
        <f t="shared" si="81"/>
        <v>137.87313</v>
      </c>
      <c r="X123" s="161">
        <f t="shared" si="81"/>
        <v>214.12038999999999</v>
      </c>
      <c r="Y123" s="161">
        <f t="shared" si="81"/>
        <v>226.50250999999997</v>
      </c>
      <c r="Z123" s="161">
        <f t="shared" si="81"/>
        <v>180.03654</v>
      </c>
      <c r="AA123" s="161">
        <f t="shared" si="81"/>
        <v>138.85362000000001</v>
      </c>
      <c r="AB123" s="161">
        <f t="shared" si="81"/>
        <v>208.79847999999998</v>
      </c>
      <c r="AC123" s="161">
        <f t="shared" si="81"/>
        <v>131.29004</v>
      </c>
      <c r="AD123" s="161">
        <f>AD90+AD100+AD110+AD120</f>
        <v>479.04256999999996</v>
      </c>
      <c r="AE123" s="161">
        <f t="shared" si="81"/>
        <v>208.87248</v>
      </c>
      <c r="AF123" s="266"/>
      <c r="AG123" s="108"/>
      <c r="AH123" s="38"/>
    </row>
    <row r="124" spans="1:36" s="37" customFormat="1" ht="21.75" customHeight="1" x14ac:dyDescent="0.3">
      <c r="A124" s="225" t="s">
        <v>126</v>
      </c>
      <c r="B124" s="151">
        <f>B126+B127</f>
        <v>6311.6647599999997</v>
      </c>
      <c r="C124" s="151">
        <f>C127+C126</f>
        <v>6311.6647599999997</v>
      </c>
      <c r="D124" s="151">
        <f>D127+D126</f>
        <v>4194.8596399999997</v>
      </c>
      <c r="E124" s="151">
        <f>E127+E126</f>
        <v>4194.8606899999995</v>
      </c>
      <c r="F124" s="70">
        <f>E124/B124</f>
        <v>0.6646203259375898</v>
      </c>
      <c r="G124" s="70">
        <f>E124/C124</f>
        <v>0.6646203259375898</v>
      </c>
      <c r="H124" s="172">
        <f t="shared" ref="H124:AE124" si="82">H127+H126</f>
        <v>33.1</v>
      </c>
      <c r="I124" s="172">
        <f t="shared" si="82"/>
        <v>0</v>
      </c>
      <c r="J124" s="172">
        <f t="shared" si="82"/>
        <v>105.51999000000001</v>
      </c>
      <c r="K124" s="172">
        <f t="shared" si="82"/>
        <v>0</v>
      </c>
      <c r="L124" s="172">
        <f t="shared" si="82"/>
        <v>115.49199000000002</v>
      </c>
      <c r="M124" s="172">
        <f t="shared" si="82"/>
        <v>50.880260000000007</v>
      </c>
      <c r="N124" s="172">
        <f t="shared" si="82"/>
        <v>194.12802000000002</v>
      </c>
      <c r="O124" s="172">
        <f t="shared" si="82"/>
        <v>127.16199999999999</v>
      </c>
      <c r="P124" s="172">
        <f t="shared" si="82"/>
        <v>438.70184999999998</v>
      </c>
      <c r="Q124" s="172">
        <f t="shared" si="82"/>
        <v>167.52856</v>
      </c>
      <c r="R124" s="172">
        <f t="shared" si="82"/>
        <v>811.72054000000003</v>
      </c>
      <c r="S124" s="172">
        <f t="shared" si="82"/>
        <v>402.31877000000003</v>
      </c>
      <c r="T124" s="172">
        <f>T127+T126</f>
        <v>1090.0756000000001</v>
      </c>
      <c r="U124" s="172">
        <f>U127+U126</f>
        <v>451.02571999999998</v>
      </c>
      <c r="V124" s="172">
        <f t="shared" si="82"/>
        <v>962.66339000000005</v>
      </c>
      <c r="W124" s="172">
        <f t="shared" si="82"/>
        <v>763.49664000000007</v>
      </c>
      <c r="X124" s="172">
        <f t="shared" si="82"/>
        <v>832.82837999999992</v>
      </c>
      <c r="Y124" s="172">
        <f t="shared" si="82"/>
        <v>756.10654999999997</v>
      </c>
      <c r="Z124" s="172">
        <f t="shared" si="82"/>
        <v>663.00352999999996</v>
      </c>
      <c r="AA124" s="172">
        <f t="shared" si="82"/>
        <v>443.97773999999998</v>
      </c>
      <c r="AB124" s="172">
        <f t="shared" si="82"/>
        <v>388.15289999999993</v>
      </c>
      <c r="AC124" s="172">
        <f t="shared" si="82"/>
        <v>566.39524000000006</v>
      </c>
      <c r="AD124" s="172">
        <f t="shared" si="82"/>
        <v>676.27856999999995</v>
      </c>
      <c r="AE124" s="172">
        <f t="shared" si="82"/>
        <v>465.96921000000003</v>
      </c>
      <c r="AF124" s="71"/>
      <c r="AG124" s="107"/>
      <c r="AH124" s="38"/>
    </row>
    <row r="125" spans="1:36" s="37" customFormat="1" x14ac:dyDescent="0.25">
      <c r="A125" s="103" t="s">
        <v>152</v>
      </c>
      <c r="B125" s="161">
        <v>0</v>
      </c>
      <c r="C125" s="161">
        <v>0</v>
      </c>
      <c r="D125" s="161">
        <v>0</v>
      </c>
      <c r="E125" s="161">
        <v>0</v>
      </c>
      <c r="F125" s="81" t="e">
        <f>E125/B125</f>
        <v>#DIV/0!</v>
      </c>
      <c r="G125" s="81" t="e">
        <f>E125/C125</f>
        <v>#DIV/0!</v>
      </c>
      <c r="H125" s="161">
        <v>0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1">
        <v>0</v>
      </c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  <c r="AB125" s="161">
        <v>0</v>
      </c>
      <c r="AC125" s="161">
        <v>0</v>
      </c>
      <c r="AD125" s="161">
        <v>0</v>
      </c>
      <c r="AE125" s="161">
        <v>0</v>
      </c>
      <c r="AF125" s="41"/>
      <c r="AH125" s="38"/>
    </row>
    <row r="126" spans="1:36" s="37" customFormat="1" ht="28.5" customHeight="1" x14ac:dyDescent="0.25">
      <c r="A126" s="87" t="s">
        <v>102</v>
      </c>
      <c r="B126" s="110">
        <f t="shared" ref="B126:E127" si="83">B69+B79+B122</f>
        <v>1109.36069</v>
      </c>
      <c r="C126" s="110">
        <f t="shared" si="83"/>
        <v>1109.36069</v>
      </c>
      <c r="D126" s="110">
        <f t="shared" si="83"/>
        <v>940.81071000000009</v>
      </c>
      <c r="E126" s="110">
        <f t="shared" si="83"/>
        <v>940.81175999999994</v>
      </c>
      <c r="F126" s="133">
        <f>E126/B126</f>
        <v>0.84806661032851272</v>
      </c>
      <c r="G126" s="110">
        <f>E126/C126</f>
        <v>0.84806661032851272</v>
      </c>
      <c r="H126" s="110">
        <f t="shared" ref="H126:AE126" si="84">H69+H79+H122</f>
        <v>0</v>
      </c>
      <c r="I126" s="110">
        <f t="shared" si="84"/>
        <v>0</v>
      </c>
      <c r="J126" s="110">
        <f t="shared" si="84"/>
        <v>16.859990000000003</v>
      </c>
      <c r="K126" s="110">
        <f t="shared" si="84"/>
        <v>0</v>
      </c>
      <c r="L126" s="110">
        <f t="shared" si="84"/>
        <v>16.859990000000003</v>
      </c>
      <c r="M126" s="110">
        <f t="shared" si="84"/>
        <v>0</v>
      </c>
      <c r="N126" s="110">
        <f t="shared" si="84"/>
        <v>16.860019999999999</v>
      </c>
      <c r="O126" s="110">
        <f t="shared" si="84"/>
        <v>35.86</v>
      </c>
      <c r="P126" s="110">
        <f t="shared" si="84"/>
        <v>101.99943</v>
      </c>
      <c r="Q126" s="110">
        <f t="shared" si="84"/>
        <v>25.211360000000003</v>
      </c>
      <c r="R126" s="110">
        <f t="shared" si="84"/>
        <v>157.35998999999998</v>
      </c>
      <c r="S126" s="110">
        <f t="shared" si="84"/>
        <v>112.872</v>
      </c>
      <c r="T126" s="110">
        <f t="shared" si="84"/>
        <v>241.66000000000003</v>
      </c>
      <c r="U126" s="110">
        <f t="shared" si="84"/>
        <v>69.599999999999994</v>
      </c>
      <c r="V126" s="110">
        <f t="shared" si="84"/>
        <v>211.904</v>
      </c>
      <c r="W126" s="110">
        <f t="shared" si="84"/>
        <v>147.48063999999999</v>
      </c>
      <c r="X126" s="110">
        <f t="shared" si="84"/>
        <v>73.059989999999999</v>
      </c>
      <c r="Y126" s="110">
        <f t="shared" si="84"/>
        <v>105.91812999999999</v>
      </c>
      <c r="Z126" s="110">
        <f t="shared" si="84"/>
        <v>73.059989999999999</v>
      </c>
      <c r="AA126" s="110">
        <f t="shared" si="84"/>
        <v>145.74133</v>
      </c>
      <c r="AB126" s="110">
        <f t="shared" si="84"/>
        <v>73.059989999999999</v>
      </c>
      <c r="AC126" s="110">
        <f t="shared" si="84"/>
        <v>135.25941</v>
      </c>
      <c r="AD126" s="110">
        <f t="shared" si="84"/>
        <v>126.6773</v>
      </c>
      <c r="AE126" s="110">
        <f t="shared" si="84"/>
        <v>162.86889000000002</v>
      </c>
      <c r="AF126" s="110"/>
      <c r="AG126" s="108"/>
      <c r="AH126" s="38"/>
    </row>
    <row r="127" spans="1:36" s="34" customFormat="1" ht="26.25" customHeight="1" x14ac:dyDescent="0.25">
      <c r="A127" s="84" t="s">
        <v>103</v>
      </c>
      <c r="B127" s="146">
        <f t="shared" si="83"/>
        <v>5202.3040700000001</v>
      </c>
      <c r="C127" s="146">
        <f t="shared" si="83"/>
        <v>5202.3040700000001</v>
      </c>
      <c r="D127" s="146">
        <f t="shared" si="83"/>
        <v>3254.0489299999999</v>
      </c>
      <c r="E127" s="146">
        <f t="shared" si="83"/>
        <v>3254.0489299999999</v>
      </c>
      <c r="F127" s="132">
        <f>E127/B127</f>
        <v>0.62550148669030026</v>
      </c>
      <c r="G127" s="132">
        <f>E127/C127</f>
        <v>0.62550148669030026</v>
      </c>
      <c r="H127" s="146">
        <f t="shared" ref="H127:AE127" si="85">H70+H80+H123</f>
        <v>33.1</v>
      </c>
      <c r="I127" s="146">
        <f t="shared" si="85"/>
        <v>0</v>
      </c>
      <c r="J127" s="146">
        <f t="shared" si="85"/>
        <v>88.66</v>
      </c>
      <c r="K127" s="146">
        <f t="shared" si="85"/>
        <v>0</v>
      </c>
      <c r="L127" s="146">
        <f t="shared" si="85"/>
        <v>98.632000000000005</v>
      </c>
      <c r="M127" s="146">
        <f t="shared" si="85"/>
        <v>50.880260000000007</v>
      </c>
      <c r="N127" s="146">
        <f t="shared" si="85"/>
        <v>177.26800000000003</v>
      </c>
      <c r="O127" s="146">
        <f t="shared" si="85"/>
        <v>91.301999999999992</v>
      </c>
      <c r="P127" s="146">
        <f>P70+P80+P123</f>
        <v>336.70241999999996</v>
      </c>
      <c r="Q127" s="146">
        <f t="shared" si="85"/>
        <v>142.31719999999999</v>
      </c>
      <c r="R127" s="146">
        <f t="shared" si="85"/>
        <v>654.36054999999999</v>
      </c>
      <c r="S127" s="146">
        <f t="shared" si="85"/>
        <v>289.44677000000001</v>
      </c>
      <c r="T127" s="146">
        <f t="shared" si="85"/>
        <v>848.41560000000004</v>
      </c>
      <c r="U127" s="146">
        <f t="shared" si="85"/>
        <v>381.42571999999996</v>
      </c>
      <c r="V127" s="146">
        <f t="shared" si="85"/>
        <v>750.75939000000005</v>
      </c>
      <c r="W127" s="146">
        <f t="shared" si="85"/>
        <v>616.01600000000008</v>
      </c>
      <c r="X127" s="146">
        <f t="shared" si="85"/>
        <v>759.76838999999995</v>
      </c>
      <c r="Y127" s="146">
        <f t="shared" si="85"/>
        <v>650.18841999999995</v>
      </c>
      <c r="Z127" s="146">
        <f t="shared" si="85"/>
        <v>589.94353999999998</v>
      </c>
      <c r="AA127" s="146">
        <f t="shared" si="85"/>
        <v>298.23640999999998</v>
      </c>
      <c r="AB127" s="146">
        <f t="shared" si="85"/>
        <v>315.09290999999996</v>
      </c>
      <c r="AC127" s="146">
        <f t="shared" si="85"/>
        <v>431.13583000000006</v>
      </c>
      <c r="AD127" s="146">
        <f>AD70+AD80+AD123</f>
        <v>549.60127</v>
      </c>
      <c r="AE127" s="146">
        <f t="shared" si="85"/>
        <v>303.10032000000001</v>
      </c>
      <c r="AF127" s="77"/>
      <c r="AG127" s="108"/>
      <c r="AH127" s="35"/>
    </row>
    <row r="128" spans="1:36" s="37" customFormat="1" ht="146.25" hidden="1" customHeight="1" x14ac:dyDescent="0.25">
      <c r="A128" s="205" t="s">
        <v>132</v>
      </c>
      <c r="B128" s="163"/>
      <c r="C128" s="206"/>
      <c r="D128" s="206"/>
      <c r="E128" s="207"/>
      <c r="F128" s="208"/>
      <c r="G128" s="208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9"/>
      <c r="AE128" s="198"/>
      <c r="AF128" s="214" t="s">
        <v>134</v>
      </c>
      <c r="AG128" s="108"/>
      <c r="AH128" s="38"/>
    </row>
    <row r="129" spans="1:34" s="37" customFormat="1" hidden="1" x14ac:dyDescent="0.25">
      <c r="A129" s="69" t="s">
        <v>25</v>
      </c>
      <c r="B129" s="151">
        <f>B130</f>
        <v>0</v>
      </c>
      <c r="C129" s="151">
        <f>C130</f>
        <v>0</v>
      </c>
      <c r="D129" s="151">
        <f>D130</f>
        <v>0</v>
      </c>
      <c r="E129" s="151">
        <f t="shared" ref="E129:AE129" si="86">E130</f>
        <v>0</v>
      </c>
      <c r="F129" s="70" t="e">
        <f>E129/B129</f>
        <v>#DIV/0!</v>
      </c>
      <c r="G129" s="70" t="e">
        <f>E129/C129</f>
        <v>#DIV/0!</v>
      </c>
      <c r="H129" s="151">
        <f>H130</f>
        <v>0</v>
      </c>
      <c r="I129" s="151">
        <f t="shared" si="86"/>
        <v>0</v>
      </c>
      <c r="J129" s="151">
        <f t="shared" si="86"/>
        <v>0</v>
      </c>
      <c r="K129" s="151">
        <f t="shared" si="86"/>
        <v>0</v>
      </c>
      <c r="L129" s="151">
        <f t="shared" si="86"/>
        <v>0</v>
      </c>
      <c r="M129" s="151">
        <f t="shared" si="86"/>
        <v>0</v>
      </c>
      <c r="N129" s="151">
        <f t="shared" si="86"/>
        <v>0</v>
      </c>
      <c r="O129" s="151">
        <f t="shared" si="86"/>
        <v>0</v>
      </c>
      <c r="P129" s="151">
        <f t="shared" si="86"/>
        <v>0</v>
      </c>
      <c r="Q129" s="151">
        <f t="shared" si="86"/>
        <v>0</v>
      </c>
      <c r="R129" s="151">
        <f t="shared" si="86"/>
        <v>0</v>
      </c>
      <c r="S129" s="151">
        <f t="shared" si="86"/>
        <v>0</v>
      </c>
      <c r="T129" s="151">
        <f t="shared" si="86"/>
        <v>0</v>
      </c>
      <c r="U129" s="151">
        <f t="shared" si="86"/>
        <v>0</v>
      </c>
      <c r="V129" s="151">
        <f t="shared" si="86"/>
        <v>0</v>
      </c>
      <c r="W129" s="151">
        <f t="shared" si="86"/>
        <v>0</v>
      </c>
      <c r="X129" s="151">
        <f t="shared" si="86"/>
        <v>0</v>
      </c>
      <c r="Y129" s="151">
        <f t="shared" si="86"/>
        <v>0</v>
      </c>
      <c r="Z129" s="151">
        <f t="shared" si="86"/>
        <v>0</v>
      </c>
      <c r="AA129" s="151">
        <f t="shared" si="86"/>
        <v>0</v>
      </c>
      <c r="AB129" s="151">
        <f t="shared" si="86"/>
        <v>0</v>
      </c>
      <c r="AC129" s="151">
        <f t="shared" si="86"/>
        <v>0</v>
      </c>
      <c r="AD129" s="151">
        <f t="shared" si="86"/>
        <v>0</v>
      </c>
      <c r="AE129" s="175">
        <f t="shared" si="86"/>
        <v>0</v>
      </c>
      <c r="AF129" s="41"/>
      <c r="AG129" s="108"/>
      <c r="AH129" s="38"/>
    </row>
    <row r="130" spans="1:34" s="37" customFormat="1" ht="20.25" hidden="1" customHeight="1" x14ac:dyDescent="0.25">
      <c r="A130" s="72" t="s">
        <v>102</v>
      </c>
      <c r="B130" s="144">
        <f>H130+J130+L130+N130+P130+R130+T130+V130+X130+Z130+AB130+AD130</f>
        <v>0</v>
      </c>
      <c r="C130" s="145">
        <f>H130+J130+L130+N130+P130+R130+T130+V130+X130+Z130+AB130</f>
        <v>0</v>
      </c>
      <c r="D130" s="145">
        <v>0</v>
      </c>
      <c r="E130" s="145">
        <f>I130+K130+M130+O130+Q130+S130+U130+W130+Y130+AA130+AC130+AE130</f>
        <v>0</v>
      </c>
      <c r="F130" s="75" t="e">
        <f>E130/B130</f>
        <v>#DIV/0!</v>
      </c>
      <c r="G130" s="75" t="e">
        <f>E130/C130</f>
        <v>#DIV/0!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0</v>
      </c>
      <c r="R130" s="145">
        <v>0</v>
      </c>
      <c r="S130" s="145">
        <v>0</v>
      </c>
      <c r="T130" s="145"/>
      <c r="U130" s="145"/>
      <c r="V130" s="145">
        <v>0</v>
      </c>
      <c r="W130" s="145">
        <v>0</v>
      </c>
      <c r="X130" s="145">
        <v>0</v>
      </c>
      <c r="Y130" s="145">
        <v>0</v>
      </c>
      <c r="Z130" s="145"/>
      <c r="AA130" s="145"/>
      <c r="AB130" s="145"/>
      <c r="AC130" s="145">
        <v>0</v>
      </c>
      <c r="AD130" s="145">
        <v>0</v>
      </c>
      <c r="AE130" s="186">
        <v>0</v>
      </c>
      <c r="AF130" s="74"/>
      <c r="AG130" s="108"/>
      <c r="AH130" s="38"/>
    </row>
    <row r="131" spans="1:34" s="37" customFormat="1" ht="33" x14ac:dyDescent="0.25">
      <c r="A131" s="218" t="s">
        <v>153</v>
      </c>
      <c r="B131" s="161">
        <v>0</v>
      </c>
      <c r="C131" s="162">
        <v>0</v>
      </c>
      <c r="D131" s="162">
        <v>0</v>
      </c>
      <c r="E131" s="162">
        <v>0</v>
      </c>
      <c r="F131" s="81" t="e">
        <f>E131/B131</f>
        <v>#DIV/0!</v>
      </c>
      <c r="G131" s="81" t="e">
        <f>E131/C131</f>
        <v>#DIV/0!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  <c r="O131" s="161">
        <v>0</v>
      </c>
      <c r="P131" s="161">
        <v>0</v>
      </c>
      <c r="Q131" s="161">
        <v>0</v>
      </c>
      <c r="R131" s="161">
        <v>0</v>
      </c>
      <c r="S131" s="161">
        <v>0</v>
      </c>
      <c r="T131" s="161">
        <v>0</v>
      </c>
      <c r="U131" s="161">
        <v>0</v>
      </c>
      <c r="V131" s="161">
        <v>0</v>
      </c>
      <c r="W131" s="161">
        <v>0</v>
      </c>
      <c r="X131" s="161">
        <v>0</v>
      </c>
      <c r="Y131" s="161">
        <v>0</v>
      </c>
      <c r="Z131" s="161">
        <v>0</v>
      </c>
      <c r="AA131" s="161">
        <v>0</v>
      </c>
      <c r="AB131" s="161">
        <v>0</v>
      </c>
      <c r="AC131" s="161">
        <v>0</v>
      </c>
      <c r="AD131" s="161">
        <v>0</v>
      </c>
      <c r="AE131" s="161">
        <v>0</v>
      </c>
      <c r="AF131" s="78"/>
      <c r="AH131" s="38"/>
    </row>
    <row r="132" spans="1:34" s="37" customFormat="1" x14ac:dyDescent="0.25">
      <c r="A132" s="103" t="s">
        <v>154</v>
      </c>
      <c r="B132" s="161">
        <v>0</v>
      </c>
      <c r="C132" s="162">
        <v>0</v>
      </c>
      <c r="D132" s="162">
        <v>0</v>
      </c>
      <c r="E132" s="162">
        <v>0</v>
      </c>
      <c r="F132" s="81" t="e">
        <f>E132/B132</f>
        <v>#DIV/0!</v>
      </c>
      <c r="G132" s="81" t="e">
        <f>E132/C132</f>
        <v>#DIV/0!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1">
        <v>0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1">
        <v>0</v>
      </c>
      <c r="AB132" s="161">
        <v>0</v>
      </c>
      <c r="AC132" s="161">
        <v>0</v>
      </c>
      <c r="AD132" s="161">
        <v>0</v>
      </c>
      <c r="AE132" s="161">
        <v>0</v>
      </c>
      <c r="AF132" s="78"/>
      <c r="AH132" s="38"/>
    </row>
    <row r="133" spans="1:34" s="37" customFormat="1" ht="87.75" hidden="1" customHeight="1" x14ac:dyDescent="0.25">
      <c r="A133" s="68" t="s">
        <v>141</v>
      </c>
      <c r="B133" s="200"/>
      <c r="C133" s="201"/>
      <c r="D133" s="201"/>
      <c r="E133" s="201"/>
      <c r="F133" s="202"/>
      <c r="G133" s="202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188"/>
      <c r="AF133" s="203"/>
      <c r="AG133" s="108"/>
      <c r="AH133" s="38"/>
    </row>
    <row r="134" spans="1:34" s="37" customFormat="1" hidden="1" x14ac:dyDescent="0.25">
      <c r="A134" s="89" t="s">
        <v>25</v>
      </c>
      <c r="B134" s="151">
        <f>B136+B137</f>
        <v>0</v>
      </c>
      <c r="C134" s="151">
        <f>C136+C137</f>
        <v>0</v>
      </c>
      <c r="D134" s="151">
        <f>D136+D137</f>
        <v>0</v>
      </c>
      <c r="E134" s="151">
        <f>E136+E137</f>
        <v>0</v>
      </c>
      <c r="F134" s="70" t="e">
        <f t="shared" ref="F134:F139" si="87">E134/B134</f>
        <v>#DIV/0!</v>
      </c>
      <c r="G134" s="70" t="e">
        <f t="shared" ref="G134:G139" si="88">E134/C134</f>
        <v>#DIV/0!</v>
      </c>
      <c r="H134" s="151">
        <f>H136+H137</f>
        <v>0</v>
      </c>
      <c r="I134" s="151">
        <f>I136+I137</f>
        <v>0</v>
      </c>
      <c r="J134" s="151">
        <f t="shared" ref="J134:AE134" si="89">J136+J137</f>
        <v>0</v>
      </c>
      <c r="K134" s="151">
        <f t="shared" si="89"/>
        <v>0</v>
      </c>
      <c r="L134" s="151">
        <f t="shared" si="89"/>
        <v>0</v>
      </c>
      <c r="M134" s="151">
        <f t="shared" si="89"/>
        <v>0</v>
      </c>
      <c r="N134" s="151">
        <f t="shared" si="89"/>
        <v>0</v>
      </c>
      <c r="O134" s="151">
        <f t="shared" si="89"/>
        <v>0</v>
      </c>
      <c r="P134" s="151">
        <f t="shared" si="89"/>
        <v>0</v>
      </c>
      <c r="Q134" s="151">
        <f t="shared" si="89"/>
        <v>0</v>
      </c>
      <c r="R134" s="151">
        <f t="shared" si="89"/>
        <v>0</v>
      </c>
      <c r="S134" s="151">
        <f t="shared" si="89"/>
        <v>0</v>
      </c>
      <c r="T134" s="151">
        <f t="shared" si="89"/>
        <v>0</v>
      </c>
      <c r="U134" s="151">
        <f t="shared" si="89"/>
        <v>0</v>
      </c>
      <c r="V134" s="151">
        <f t="shared" si="89"/>
        <v>0</v>
      </c>
      <c r="W134" s="151">
        <f t="shared" si="89"/>
        <v>0</v>
      </c>
      <c r="X134" s="151">
        <f t="shared" si="89"/>
        <v>0</v>
      </c>
      <c r="Y134" s="151">
        <f t="shared" si="89"/>
        <v>0</v>
      </c>
      <c r="Z134" s="151">
        <f t="shared" si="89"/>
        <v>0</v>
      </c>
      <c r="AA134" s="151">
        <f t="shared" si="89"/>
        <v>0</v>
      </c>
      <c r="AB134" s="151">
        <f t="shared" si="89"/>
        <v>0</v>
      </c>
      <c r="AC134" s="151">
        <f t="shared" si="89"/>
        <v>0</v>
      </c>
      <c r="AD134" s="151">
        <f t="shared" si="89"/>
        <v>0</v>
      </c>
      <c r="AE134" s="151">
        <f t="shared" si="89"/>
        <v>0</v>
      </c>
      <c r="AF134" s="91"/>
      <c r="AH134" s="38"/>
    </row>
    <row r="135" spans="1:34" s="37" customFormat="1" hidden="1" x14ac:dyDescent="0.25">
      <c r="A135" s="103" t="s">
        <v>152</v>
      </c>
      <c r="B135" s="161">
        <v>0</v>
      </c>
      <c r="C135" s="161">
        <v>0</v>
      </c>
      <c r="D135" s="161">
        <v>0</v>
      </c>
      <c r="E135" s="161">
        <v>0</v>
      </c>
      <c r="F135" s="81" t="e">
        <f t="shared" si="87"/>
        <v>#DIV/0!</v>
      </c>
      <c r="G135" s="81" t="e">
        <f t="shared" si="88"/>
        <v>#DIV/0!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41"/>
      <c r="AH135" s="38"/>
    </row>
    <row r="136" spans="1:34" s="37" customFormat="1" hidden="1" x14ac:dyDescent="0.25">
      <c r="A136" s="72" t="s">
        <v>102</v>
      </c>
      <c r="B136" s="145">
        <f>H136+J136+L136+N136+P136+R136+T136+V136+X136+Z136+AB136+AD136</f>
        <v>0</v>
      </c>
      <c r="C136" s="145">
        <f>C143</f>
        <v>0</v>
      </c>
      <c r="D136" s="145">
        <f t="shared" ref="C136:E137" si="90">D143</f>
        <v>0</v>
      </c>
      <c r="E136" s="145">
        <f t="shared" si="90"/>
        <v>0</v>
      </c>
      <c r="F136" s="75" t="e">
        <f t="shared" si="87"/>
        <v>#DIV/0!</v>
      </c>
      <c r="G136" s="75" t="e">
        <f t="shared" si="88"/>
        <v>#DIV/0!</v>
      </c>
      <c r="H136" s="145">
        <f>H143</f>
        <v>0</v>
      </c>
      <c r="I136" s="145">
        <f>I143</f>
        <v>0</v>
      </c>
      <c r="J136" s="145">
        <f>J143</f>
        <v>0</v>
      </c>
      <c r="K136" s="145">
        <f t="shared" ref="K136:AE136" si="91">K143</f>
        <v>0</v>
      </c>
      <c r="L136" s="145">
        <f t="shared" si="91"/>
        <v>0</v>
      </c>
      <c r="M136" s="145">
        <f t="shared" si="91"/>
        <v>0</v>
      </c>
      <c r="N136" s="145">
        <f t="shared" si="91"/>
        <v>0</v>
      </c>
      <c r="O136" s="145">
        <f t="shared" si="91"/>
        <v>0</v>
      </c>
      <c r="P136" s="145">
        <f t="shared" si="91"/>
        <v>0</v>
      </c>
      <c r="Q136" s="145">
        <f t="shared" si="91"/>
        <v>0</v>
      </c>
      <c r="R136" s="145">
        <f t="shared" si="91"/>
        <v>0</v>
      </c>
      <c r="S136" s="145">
        <f t="shared" si="91"/>
        <v>0</v>
      </c>
      <c r="T136" s="145">
        <f t="shared" si="91"/>
        <v>0</v>
      </c>
      <c r="U136" s="145">
        <f t="shared" si="91"/>
        <v>0</v>
      </c>
      <c r="V136" s="145">
        <f t="shared" si="91"/>
        <v>0</v>
      </c>
      <c r="W136" s="145">
        <f t="shared" si="91"/>
        <v>0</v>
      </c>
      <c r="X136" s="145">
        <f t="shared" si="91"/>
        <v>0</v>
      </c>
      <c r="Y136" s="145">
        <f t="shared" si="91"/>
        <v>0</v>
      </c>
      <c r="Z136" s="145">
        <f t="shared" si="91"/>
        <v>0</v>
      </c>
      <c r="AA136" s="145">
        <f t="shared" si="91"/>
        <v>0</v>
      </c>
      <c r="AB136" s="145">
        <f t="shared" si="91"/>
        <v>0</v>
      </c>
      <c r="AC136" s="145">
        <f t="shared" si="91"/>
        <v>0</v>
      </c>
      <c r="AD136" s="145">
        <f t="shared" si="91"/>
        <v>0</v>
      </c>
      <c r="AE136" s="145">
        <f t="shared" si="91"/>
        <v>0</v>
      </c>
      <c r="AF136" s="74"/>
      <c r="AH136" s="38"/>
    </row>
    <row r="137" spans="1:34" s="37" customFormat="1" hidden="1" x14ac:dyDescent="0.25">
      <c r="A137" s="76" t="s">
        <v>103</v>
      </c>
      <c r="B137" s="146">
        <f>H137+J137+L137+N137+P137+R137+T137+V137+X137+Z137+AB137+AD137</f>
        <v>0</v>
      </c>
      <c r="C137" s="147">
        <f t="shared" si="90"/>
        <v>0</v>
      </c>
      <c r="D137" s="147">
        <f t="shared" si="90"/>
        <v>0</v>
      </c>
      <c r="E137" s="147">
        <f t="shared" si="90"/>
        <v>0</v>
      </c>
      <c r="F137" s="79" t="e">
        <f t="shared" si="87"/>
        <v>#DIV/0!</v>
      </c>
      <c r="G137" s="79" t="e">
        <f t="shared" si="88"/>
        <v>#DIV/0!</v>
      </c>
      <c r="H137" s="147">
        <f>H144</f>
        <v>0</v>
      </c>
      <c r="I137" s="147">
        <f t="shared" ref="I137:AE137" si="92">I144</f>
        <v>0</v>
      </c>
      <c r="J137" s="147">
        <f t="shared" si="92"/>
        <v>0</v>
      </c>
      <c r="K137" s="147">
        <f t="shared" si="92"/>
        <v>0</v>
      </c>
      <c r="L137" s="147">
        <f t="shared" si="92"/>
        <v>0</v>
      </c>
      <c r="M137" s="147">
        <f t="shared" si="92"/>
        <v>0</v>
      </c>
      <c r="N137" s="147">
        <f t="shared" si="92"/>
        <v>0</v>
      </c>
      <c r="O137" s="147">
        <f t="shared" si="92"/>
        <v>0</v>
      </c>
      <c r="P137" s="147">
        <f t="shared" si="92"/>
        <v>0</v>
      </c>
      <c r="Q137" s="147">
        <f t="shared" si="92"/>
        <v>0</v>
      </c>
      <c r="R137" s="147">
        <f t="shared" si="92"/>
        <v>0</v>
      </c>
      <c r="S137" s="147">
        <f t="shared" si="92"/>
        <v>0</v>
      </c>
      <c r="T137" s="147">
        <f t="shared" si="92"/>
        <v>0</v>
      </c>
      <c r="U137" s="147">
        <f t="shared" si="92"/>
        <v>0</v>
      </c>
      <c r="V137" s="147">
        <f t="shared" si="92"/>
        <v>0</v>
      </c>
      <c r="W137" s="147">
        <f t="shared" si="92"/>
        <v>0</v>
      </c>
      <c r="X137" s="147">
        <f t="shared" si="92"/>
        <v>0</v>
      </c>
      <c r="Y137" s="147">
        <f t="shared" si="92"/>
        <v>0</v>
      </c>
      <c r="Z137" s="147">
        <f t="shared" si="92"/>
        <v>0</v>
      </c>
      <c r="AA137" s="147">
        <f t="shared" si="92"/>
        <v>0</v>
      </c>
      <c r="AB137" s="147">
        <f t="shared" si="92"/>
        <v>0</v>
      </c>
      <c r="AC137" s="147">
        <f t="shared" si="92"/>
        <v>0</v>
      </c>
      <c r="AD137" s="147">
        <f t="shared" si="92"/>
        <v>0</v>
      </c>
      <c r="AE137" s="147">
        <f t="shared" si="92"/>
        <v>0</v>
      </c>
      <c r="AF137" s="78"/>
      <c r="AH137" s="38"/>
    </row>
    <row r="138" spans="1:34" s="37" customFormat="1" ht="33" hidden="1" x14ac:dyDescent="0.25">
      <c r="A138" s="218" t="s">
        <v>153</v>
      </c>
      <c r="B138" s="161">
        <v>0</v>
      </c>
      <c r="C138" s="162">
        <v>0</v>
      </c>
      <c r="D138" s="162">
        <v>0</v>
      </c>
      <c r="E138" s="162">
        <v>0</v>
      </c>
      <c r="F138" s="81" t="e">
        <f t="shared" si="87"/>
        <v>#DIV/0!</v>
      </c>
      <c r="G138" s="81" t="e">
        <f t="shared" si="88"/>
        <v>#DIV/0!</v>
      </c>
      <c r="H138" s="161">
        <v>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78"/>
      <c r="AH138" s="38"/>
    </row>
    <row r="139" spans="1:34" s="37" customFormat="1" hidden="1" x14ac:dyDescent="0.25">
      <c r="A139" s="103" t="s">
        <v>154</v>
      </c>
      <c r="B139" s="161">
        <v>0</v>
      </c>
      <c r="C139" s="162">
        <v>0</v>
      </c>
      <c r="D139" s="162">
        <v>0</v>
      </c>
      <c r="E139" s="162">
        <v>0</v>
      </c>
      <c r="F139" s="81" t="e">
        <f t="shared" si="87"/>
        <v>#DIV/0!</v>
      </c>
      <c r="G139" s="81" t="e">
        <f t="shared" si="88"/>
        <v>#DIV/0!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78"/>
      <c r="AH139" s="38"/>
    </row>
    <row r="140" spans="1:34" s="37" customFormat="1" ht="131.25" hidden="1" customHeight="1" x14ac:dyDescent="0.25">
      <c r="A140" s="119" t="s">
        <v>140</v>
      </c>
      <c r="B140" s="148"/>
      <c r="C140" s="149"/>
      <c r="D140" s="149"/>
      <c r="E140" s="150"/>
      <c r="F140" s="120"/>
      <c r="G140" s="12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70"/>
      <c r="AE140" s="171"/>
      <c r="AF140" s="214" t="s">
        <v>158</v>
      </c>
      <c r="AG140" s="108"/>
      <c r="AH140" s="38"/>
    </row>
    <row r="141" spans="1:34" s="37" customFormat="1" hidden="1" x14ac:dyDescent="0.25">
      <c r="A141" s="69" t="s">
        <v>25</v>
      </c>
      <c r="B141" s="151">
        <f>B143</f>
        <v>0</v>
      </c>
      <c r="C141" s="151">
        <f>C143</f>
        <v>0</v>
      </c>
      <c r="D141" s="151">
        <f>D143</f>
        <v>0</v>
      </c>
      <c r="E141" s="151">
        <f t="shared" ref="E141" si="93">E143</f>
        <v>0</v>
      </c>
      <c r="F141" s="70" t="e">
        <f t="shared" ref="F141:F162" si="94">E141/B141</f>
        <v>#DIV/0!</v>
      </c>
      <c r="G141" s="70" t="e">
        <f t="shared" ref="G141:G162" si="95">E141/C141</f>
        <v>#DIV/0!</v>
      </c>
      <c r="H141" s="151">
        <f>H143+H144</f>
        <v>0</v>
      </c>
      <c r="I141" s="151">
        <f t="shared" ref="I141:AE141" si="96">I143+I144</f>
        <v>0</v>
      </c>
      <c r="J141" s="151">
        <f t="shared" si="96"/>
        <v>0</v>
      </c>
      <c r="K141" s="151">
        <f t="shared" si="96"/>
        <v>0</v>
      </c>
      <c r="L141" s="151">
        <f t="shared" si="96"/>
        <v>0</v>
      </c>
      <c r="M141" s="151">
        <f t="shared" si="96"/>
        <v>0</v>
      </c>
      <c r="N141" s="151">
        <f t="shared" si="96"/>
        <v>0</v>
      </c>
      <c r="O141" s="151">
        <f t="shared" si="96"/>
        <v>0</v>
      </c>
      <c r="P141" s="151">
        <f t="shared" si="96"/>
        <v>0</v>
      </c>
      <c r="Q141" s="151">
        <f t="shared" si="96"/>
        <v>0</v>
      </c>
      <c r="R141" s="151">
        <f t="shared" si="96"/>
        <v>0</v>
      </c>
      <c r="S141" s="151">
        <f t="shared" si="96"/>
        <v>0</v>
      </c>
      <c r="T141" s="151">
        <f t="shared" si="96"/>
        <v>0</v>
      </c>
      <c r="U141" s="151">
        <f t="shared" si="96"/>
        <v>0</v>
      </c>
      <c r="V141" s="151">
        <f t="shared" si="96"/>
        <v>0</v>
      </c>
      <c r="W141" s="151">
        <f t="shared" si="96"/>
        <v>0</v>
      </c>
      <c r="X141" s="151">
        <f t="shared" si="96"/>
        <v>0</v>
      </c>
      <c r="Y141" s="151">
        <f t="shared" si="96"/>
        <v>0</v>
      </c>
      <c r="Z141" s="151">
        <f t="shared" si="96"/>
        <v>0</v>
      </c>
      <c r="AA141" s="151">
        <f t="shared" si="96"/>
        <v>0</v>
      </c>
      <c r="AB141" s="151">
        <f t="shared" si="96"/>
        <v>0</v>
      </c>
      <c r="AC141" s="151">
        <f t="shared" si="96"/>
        <v>0</v>
      </c>
      <c r="AD141" s="151">
        <f t="shared" si="96"/>
        <v>0</v>
      </c>
      <c r="AE141" s="151">
        <f t="shared" si="96"/>
        <v>0</v>
      </c>
      <c r="AF141" s="41"/>
      <c r="AG141" s="108"/>
      <c r="AH141" s="38"/>
    </row>
    <row r="142" spans="1:34" s="37" customFormat="1" hidden="1" x14ac:dyDescent="0.25">
      <c r="A142" s="103" t="s">
        <v>152</v>
      </c>
      <c r="B142" s="161">
        <v>0</v>
      </c>
      <c r="C142" s="161">
        <v>0</v>
      </c>
      <c r="D142" s="161">
        <v>0</v>
      </c>
      <c r="E142" s="161">
        <v>0</v>
      </c>
      <c r="F142" s="81" t="e">
        <f t="shared" si="94"/>
        <v>#DIV/0!</v>
      </c>
      <c r="G142" s="81" t="e">
        <f t="shared" si="95"/>
        <v>#DIV/0!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  <c r="AB142" s="161">
        <v>0</v>
      </c>
      <c r="AC142" s="161">
        <v>0</v>
      </c>
      <c r="AD142" s="161">
        <v>0</v>
      </c>
      <c r="AE142" s="161">
        <v>0</v>
      </c>
      <c r="AF142" s="41"/>
      <c r="AH142" s="38"/>
    </row>
    <row r="143" spans="1:34" s="37" customFormat="1" ht="20.25" hidden="1" customHeight="1" x14ac:dyDescent="0.25">
      <c r="A143" s="72" t="s">
        <v>102</v>
      </c>
      <c r="B143" s="144">
        <f>H143+J143+L143+N143+P143+R143+T143+V143+X143+Z143+AB143+AD143</f>
        <v>0</v>
      </c>
      <c r="C143" s="144">
        <f>H143+J143+L143+N143+P143</f>
        <v>0</v>
      </c>
      <c r="D143" s="145">
        <v>0</v>
      </c>
      <c r="E143" s="144">
        <f>I143+K143+M143+O143+Q143+S143+U143+W143+Y143+AA143+AC143+AE143</f>
        <v>0</v>
      </c>
      <c r="F143" s="75" t="e">
        <f t="shared" si="94"/>
        <v>#DIV/0!</v>
      </c>
      <c r="G143" s="75" t="e">
        <f t="shared" si="95"/>
        <v>#DIV/0!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0</v>
      </c>
      <c r="R143" s="145">
        <v>0</v>
      </c>
      <c r="S143" s="145">
        <v>0</v>
      </c>
      <c r="T143" s="145"/>
      <c r="U143" s="145"/>
      <c r="V143" s="145">
        <v>0</v>
      </c>
      <c r="W143" s="145">
        <v>0</v>
      </c>
      <c r="X143" s="145">
        <v>0</v>
      </c>
      <c r="Y143" s="145">
        <v>0</v>
      </c>
      <c r="Z143" s="145"/>
      <c r="AA143" s="145"/>
      <c r="AB143" s="145"/>
      <c r="AC143" s="145">
        <v>0</v>
      </c>
      <c r="AD143" s="145">
        <v>0</v>
      </c>
      <c r="AE143" s="145">
        <v>0</v>
      </c>
      <c r="AF143" s="74"/>
      <c r="AG143" s="108"/>
      <c r="AH143" s="38"/>
    </row>
    <row r="144" spans="1:34" s="37" customFormat="1" hidden="1" x14ac:dyDescent="0.25">
      <c r="A144" s="76" t="s">
        <v>103</v>
      </c>
      <c r="B144" s="146">
        <f>H144+J144+L144+N144+P144+R144+T144+V144+X144+Z144+AB144+AD144</f>
        <v>0</v>
      </c>
      <c r="C144" s="146">
        <f>H144+J144+L144+N144+P144</f>
        <v>0</v>
      </c>
      <c r="D144" s="147">
        <v>0</v>
      </c>
      <c r="E144" s="146">
        <f>I144+K144+M144+O144+Q144+S144+U144+W144+Y144+AA144+AC144+AE144</f>
        <v>0</v>
      </c>
      <c r="F144" s="79" t="e">
        <f t="shared" si="94"/>
        <v>#DIV/0!</v>
      </c>
      <c r="G144" s="79" t="e">
        <f t="shared" si="95"/>
        <v>#DIV/0!</v>
      </c>
      <c r="H144" s="147">
        <f>H250+H274</f>
        <v>0</v>
      </c>
      <c r="I144" s="147">
        <f>I250+I274</f>
        <v>0</v>
      </c>
      <c r="J144" s="147">
        <f t="shared" ref="J144:AE144" si="97">J250+J274</f>
        <v>0</v>
      </c>
      <c r="K144" s="147">
        <f t="shared" si="97"/>
        <v>0</v>
      </c>
      <c r="L144" s="147">
        <f t="shared" si="97"/>
        <v>0</v>
      </c>
      <c r="M144" s="147">
        <f t="shared" si="97"/>
        <v>0</v>
      </c>
      <c r="N144" s="147">
        <f t="shared" si="97"/>
        <v>0</v>
      </c>
      <c r="O144" s="147">
        <f t="shared" si="97"/>
        <v>0</v>
      </c>
      <c r="P144" s="147">
        <f t="shared" si="97"/>
        <v>0</v>
      </c>
      <c r="Q144" s="147">
        <f t="shared" si="97"/>
        <v>0</v>
      </c>
      <c r="R144" s="147">
        <f t="shared" si="97"/>
        <v>0</v>
      </c>
      <c r="S144" s="147">
        <f t="shared" si="97"/>
        <v>0</v>
      </c>
      <c r="T144" s="147">
        <f t="shared" si="97"/>
        <v>0</v>
      </c>
      <c r="U144" s="147">
        <f t="shared" si="97"/>
        <v>0</v>
      </c>
      <c r="V144" s="147">
        <f t="shared" si="97"/>
        <v>0</v>
      </c>
      <c r="W144" s="147">
        <f t="shared" si="97"/>
        <v>0</v>
      </c>
      <c r="X144" s="147">
        <f t="shared" si="97"/>
        <v>0</v>
      </c>
      <c r="Y144" s="147">
        <f t="shared" si="97"/>
        <v>0</v>
      </c>
      <c r="Z144" s="147">
        <f t="shared" si="97"/>
        <v>0</v>
      </c>
      <c r="AA144" s="147">
        <f t="shared" si="97"/>
        <v>0</v>
      </c>
      <c r="AB144" s="147">
        <f t="shared" si="97"/>
        <v>0</v>
      </c>
      <c r="AC144" s="147">
        <f t="shared" si="97"/>
        <v>0</v>
      </c>
      <c r="AD144" s="147">
        <f t="shared" si="97"/>
        <v>0</v>
      </c>
      <c r="AE144" s="147">
        <f t="shared" si="97"/>
        <v>0</v>
      </c>
      <c r="AF144" s="78"/>
      <c r="AH144" s="38"/>
    </row>
    <row r="145" spans="1:34" s="37" customFormat="1" ht="33" hidden="1" x14ac:dyDescent="0.25">
      <c r="A145" s="218" t="s">
        <v>153</v>
      </c>
      <c r="B145" s="161">
        <v>0</v>
      </c>
      <c r="C145" s="162">
        <v>0</v>
      </c>
      <c r="D145" s="162">
        <v>0</v>
      </c>
      <c r="E145" s="162">
        <v>0</v>
      </c>
      <c r="F145" s="81" t="e">
        <f t="shared" si="94"/>
        <v>#DIV/0!</v>
      </c>
      <c r="G145" s="81" t="e">
        <f t="shared" si="95"/>
        <v>#DIV/0!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78"/>
      <c r="AH145" s="38"/>
    </row>
    <row r="146" spans="1:34" s="37" customFormat="1" hidden="1" x14ac:dyDescent="0.25">
      <c r="A146" s="103" t="s">
        <v>154</v>
      </c>
      <c r="B146" s="161">
        <v>0</v>
      </c>
      <c r="C146" s="162">
        <v>0</v>
      </c>
      <c r="D146" s="162">
        <v>0</v>
      </c>
      <c r="E146" s="162">
        <v>0</v>
      </c>
      <c r="F146" s="81" t="e">
        <f t="shared" si="94"/>
        <v>#DIV/0!</v>
      </c>
      <c r="G146" s="81" t="e">
        <f t="shared" si="95"/>
        <v>#DIV/0!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217"/>
      <c r="AH146" s="38"/>
    </row>
    <row r="147" spans="1:34" s="64" customFormat="1" ht="35.25" hidden="1" customHeight="1" x14ac:dyDescent="0.25">
      <c r="A147" s="68" t="s">
        <v>17</v>
      </c>
      <c r="B147" s="142">
        <f>B148</f>
        <v>21244.849830000003</v>
      </c>
      <c r="C147" s="142">
        <f t="shared" ref="C147:AD147" si="98">C148</f>
        <v>21244.849829999999</v>
      </c>
      <c r="D147" s="142">
        <f t="shared" si="98"/>
        <v>19128.018840000001</v>
      </c>
      <c r="E147" s="142">
        <f t="shared" si="98"/>
        <v>18607.100600000002</v>
      </c>
      <c r="F147" s="128">
        <f t="shared" si="94"/>
        <v>0.87584053306532594</v>
      </c>
      <c r="G147" s="128">
        <f t="shared" si="95"/>
        <v>0.87584053306532605</v>
      </c>
      <c r="H147" s="142">
        <f>H148</f>
        <v>33.1</v>
      </c>
      <c r="I147" s="142">
        <f t="shared" si="98"/>
        <v>0</v>
      </c>
      <c r="J147" s="142">
        <f>J148</f>
        <v>465.21198999999996</v>
      </c>
      <c r="K147" s="142">
        <f t="shared" si="98"/>
        <v>358.92627999999996</v>
      </c>
      <c r="L147" s="142">
        <f t="shared" si="98"/>
        <v>1010.54799</v>
      </c>
      <c r="M147" s="142">
        <f t="shared" si="98"/>
        <v>345.78565000000003</v>
      </c>
      <c r="N147" s="142">
        <f t="shared" si="98"/>
        <v>455.10202000000004</v>
      </c>
      <c r="O147" s="142">
        <f t="shared" si="98"/>
        <v>709.60320000000002</v>
      </c>
      <c r="P147" s="142">
        <f>P148</f>
        <v>700.42084999999997</v>
      </c>
      <c r="Q147" s="142">
        <f t="shared" si="98"/>
        <v>430.36131999999998</v>
      </c>
      <c r="R147" s="142">
        <f t="shared" si="98"/>
        <v>5102.4375400000008</v>
      </c>
      <c r="S147" s="142">
        <f t="shared" si="98"/>
        <v>4607.7413099999994</v>
      </c>
      <c r="T147" s="142">
        <f>T148</f>
        <v>5143.508600000001</v>
      </c>
      <c r="U147" s="142">
        <f t="shared" si="98"/>
        <v>4397.0908500000005</v>
      </c>
      <c r="V147" s="142">
        <f t="shared" si="98"/>
        <v>4993.8346899999997</v>
      </c>
      <c r="W147" s="142">
        <f t="shared" si="98"/>
        <v>4343.26656</v>
      </c>
      <c r="X147" s="142">
        <f>X148</f>
        <v>1094.54638</v>
      </c>
      <c r="Y147" s="142">
        <f t="shared" si="98"/>
        <v>1425.4573300000002</v>
      </c>
      <c r="Z147" s="142">
        <f t="shared" si="98"/>
        <v>920.28752999999995</v>
      </c>
      <c r="AA147" s="142">
        <f t="shared" si="98"/>
        <v>703.09788000000003</v>
      </c>
      <c r="AB147" s="142">
        <f t="shared" si="98"/>
        <v>649.57366999999999</v>
      </c>
      <c r="AC147" s="142">
        <f t="shared" si="98"/>
        <v>790.96359000000007</v>
      </c>
      <c r="AD147" s="142">
        <f t="shared" si="98"/>
        <v>676.27856999999995</v>
      </c>
      <c r="AE147" s="169"/>
      <c r="AF147" s="63"/>
      <c r="AH147" s="65"/>
    </row>
    <row r="148" spans="1:34" s="37" customFormat="1" hidden="1" x14ac:dyDescent="0.25">
      <c r="A148" s="89" t="s">
        <v>25</v>
      </c>
      <c r="B148" s="143">
        <f>B150+B151</f>
        <v>21244.849830000003</v>
      </c>
      <c r="C148" s="143">
        <f>C150+C151</f>
        <v>21244.849829999999</v>
      </c>
      <c r="D148" s="143">
        <f t="shared" ref="D148" si="99">D150+D151</f>
        <v>19128.018840000001</v>
      </c>
      <c r="E148" s="143">
        <f>E150+E151</f>
        <v>18607.100600000002</v>
      </c>
      <c r="F148" s="90">
        <f t="shared" si="94"/>
        <v>0.87584053306532594</v>
      </c>
      <c r="G148" s="90">
        <f t="shared" si="95"/>
        <v>0.87584053306532605</v>
      </c>
      <c r="H148" s="143">
        <f t="shared" ref="H148:AE148" si="100">H150+H151</f>
        <v>33.1</v>
      </c>
      <c r="I148" s="143">
        <f t="shared" si="100"/>
        <v>0</v>
      </c>
      <c r="J148" s="143">
        <f t="shared" si="100"/>
        <v>465.21198999999996</v>
      </c>
      <c r="K148" s="143">
        <f t="shared" si="100"/>
        <v>358.92627999999996</v>
      </c>
      <c r="L148" s="143">
        <f t="shared" si="100"/>
        <v>1010.54799</v>
      </c>
      <c r="M148" s="143">
        <f t="shared" si="100"/>
        <v>345.78565000000003</v>
      </c>
      <c r="N148" s="143">
        <f t="shared" si="100"/>
        <v>455.10202000000004</v>
      </c>
      <c r="O148" s="143">
        <f t="shared" si="100"/>
        <v>709.60320000000002</v>
      </c>
      <c r="P148" s="143">
        <f t="shared" si="100"/>
        <v>700.42084999999997</v>
      </c>
      <c r="Q148" s="143">
        <f t="shared" si="100"/>
        <v>430.36131999999998</v>
      </c>
      <c r="R148" s="143">
        <f t="shared" si="100"/>
        <v>5102.4375400000008</v>
      </c>
      <c r="S148" s="143">
        <f t="shared" si="100"/>
        <v>4607.7413099999994</v>
      </c>
      <c r="T148" s="143">
        <f t="shared" si="100"/>
        <v>5143.508600000001</v>
      </c>
      <c r="U148" s="143">
        <f t="shared" si="100"/>
        <v>4397.0908500000005</v>
      </c>
      <c r="V148" s="143">
        <f t="shared" si="100"/>
        <v>4993.8346899999997</v>
      </c>
      <c r="W148" s="143">
        <f t="shared" si="100"/>
        <v>4343.26656</v>
      </c>
      <c r="X148" s="143">
        <f t="shared" si="100"/>
        <v>1094.54638</v>
      </c>
      <c r="Y148" s="143">
        <f t="shared" si="100"/>
        <v>1425.4573300000002</v>
      </c>
      <c r="Z148" s="143">
        <f t="shared" si="100"/>
        <v>920.28752999999995</v>
      </c>
      <c r="AA148" s="143">
        <f t="shared" si="100"/>
        <v>703.09788000000003</v>
      </c>
      <c r="AB148" s="143">
        <f t="shared" si="100"/>
        <v>649.57366999999999</v>
      </c>
      <c r="AC148" s="143">
        <f t="shared" si="100"/>
        <v>790.96359000000007</v>
      </c>
      <c r="AD148" s="143">
        <f t="shared" si="100"/>
        <v>676.27856999999995</v>
      </c>
      <c r="AE148" s="143">
        <f t="shared" si="100"/>
        <v>494.80663000000004</v>
      </c>
      <c r="AF148" s="91"/>
      <c r="AH148" s="38"/>
    </row>
    <row r="149" spans="1:34" s="37" customFormat="1" hidden="1" x14ac:dyDescent="0.25">
      <c r="A149" s="103" t="s">
        <v>152</v>
      </c>
      <c r="B149" s="161">
        <f>B11</f>
        <v>0</v>
      </c>
      <c r="C149" s="161">
        <f t="shared" ref="C149:E149" si="101">C11</f>
        <v>0</v>
      </c>
      <c r="D149" s="161">
        <f t="shared" si="101"/>
        <v>0</v>
      </c>
      <c r="E149" s="161">
        <f t="shared" si="101"/>
        <v>0</v>
      </c>
      <c r="F149" s="81" t="e">
        <f t="shared" si="94"/>
        <v>#DIV/0!</v>
      </c>
      <c r="G149" s="81" t="e">
        <f t="shared" si="95"/>
        <v>#DIV/0!</v>
      </c>
      <c r="H149" s="161">
        <f>H11</f>
        <v>0</v>
      </c>
      <c r="I149" s="161">
        <f t="shared" ref="I149:AE149" si="102">I11</f>
        <v>0</v>
      </c>
      <c r="J149" s="161">
        <f t="shared" si="102"/>
        <v>0</v>
      </c>
      <c r="K149" s="161">
        <f t="shared" si="102"/>
        <v>0</v>
      </c>
      <c r="L149" s="161">
        <f t="shared" si="102"/>
        <v>0</v>
      </c>
      <c r="M149" s="161">
        <f t="shared" si="102"/>
        <v>0</v>
      </c>
      <c r="N149" s="161">
        <f t="shared" si="102"/>
        <v>0</v>
      </c>
      <c r="O149" s="161">
        <f t="shared" si="102"/>
        <v>0</v>
      </c>
      <c r="P149" s="161">
        <f t="shared" si="102"/>
        <v>0</v>
      </c>
      <c r="Q149" s="161">
        <f t="shared" si="102"/>
        <v>0</v>
      </c>
      <c r="R149" s="161">
        <f t="shared" si="102"/>
        <v>0</v>
      </c>
      <c r="S149" s="161">
        <f t="shared" si="102"/>
        <v>0</v>
      </c>
      <c r="T149" s="161">
        <f t="shared" si="102"/>
        <v>0</v>
      </c>
      <c r="U149" s="161">
        <f t="shared" si="102"/>
        <v>0</v>
      </c>
      <c r="V149" s="161">
        <f t="shared" si="102"/>
        <v>0</v>
      </c>
      <c r="W149" s="161">
        <f t="shared" si="102"/>
        <v>0</v>
      </c>
      <c r="X149" s="161">
        <f t="shared" si="102"/>
        <v>0</v>
      </c>
      <c r="Y149" s="161">
        <f t="shared" si="102"/>
        <v>0</v>
      </c>
      <c r="Z149" s="161">
        <f t="shared" si="102"/>
        <v>0</v>
      </c>
      <c r="AA149" s="161">
        <f t="shared" si="102"/>
        <v>0</v>
      </c>
      <c r="AB149" s="161">
        <f t="shared" si="102"/>
        <v>0</v>
      </c>
      <c r="AC149" s="161">
        <f t="shared" si="102"/>
        <v>0</v>
      </c>
      <c r="AD149" s="161">
        <f t="shared" si="102"/>
        <v>0</v>
      </c>
      <c r="AE149" s="161">
        <f t="shared" si="102"/>
        <v>0</v>
      </c>
      <c r="AF149" s="216"/>
      <c r="AH149" s="38"/>
    </row>
    <row r="150" spans="1:34" s="37" customFormat="1" hidden="1" x14ac:dyDescent="0.25">
      <c r="A150" s="72" t="s">
        <v>102</v>
      </c>
      <c r="B150" s="145">
        <f t="shared" ref="B150:E150" si="103">B12</f>
        <v>3012.9450000000006</v>
      </c>
      <c r="C150" s="145">
        <f t="shared" si="103"/>
        <v>3012.9450000000002</v>
      </c>
      <c r="D150" s="145">
        <f t="shared" si="103"/>
        <v>2844.3699100000003</v>
      </c>
      <c r="E150" s="145">
        <f t="shared" si="103"/>
        <v>2844.3709599999997</v>
      </c>
      <c r="F150" s="75">
        <f t="shared" si="94"/>
        <v>0.94405007724999934</v>
      </c>
      <c r="G150" s="75">
        <f t="shared" si="95"/>
        <v>0.94405007724999945</v>
      </c>
      <c r="H150" s="145">
        <f t="shared" ref="H150:AE150" si="104">H12</f>
        <v>0</v>
      </c>
      <c r="I150" s="145">
        <f t="shared" si="104"/>
        <v>0</v>
      </c>
      <c r="J150" s="145">
        <f t="shared" si="104"/>
        <v>16.859990000000003</v>
      </c>
      <c r="K150" s="145">
        <f t="shared" si="104"/>
        <v>0</v>
      </c>
      <c r="L150" s="145">
        <f t="shared" si="104"/>
        <v>62.334990000000005</v>
      </c>
      <c r="M150" s="145">
        <f t="shared" si="104"/>
        <v>0</v>
      </c>
      <c r="N150" s="145">
        <f t="shared" si="104"/>
        <v>65.010019999999997</v>
      </c>
      <c r="O150" s="145">
        <f t="shared" si="104"/>
        <v>129.35124999999999</v>
      </c>
      <c r="P150" s="145">
        <f t="shared" si="104"/>
        <v>142.12443000000002</v>
      </c>
      <c r="Q150" s="145">
        <f t="shared" si="104"/>
        <v>65.214770000000001</v>
      </c>
      <c r="R150" s="145">
        <f t="shared" si="104"/>
        <v>646.88499000000002</v>
      </c>
      <c r="S150" s="145">
        <f t="shared" si="104"/>
        <v>602.39699999999993</v>
      </c>
      <c r="T150" s="145">
        <f t="shared" si="104"/>
        <v>313.93500000000006</v>
      </c>
      <c r="U150" s="145">
        <f t="shared" si="104"/>
        <v>129.43532999999999</v>
      </c>
      <c r="V150" s="145">
        <f t="shared" si="104"/>
        <v>1259.6685400000001</v>
      </c>
      <c r="W150" s="145">
        <f t="shared" si="104"/>
        <v>673.29280000000006</v>
      </c>
      <c r="X150" s="145">
        <f t="shared" si="104"/>
        <v>113.18499</v>
      </c>
      <c r="Y150" s="145">
        <f t="shared" si="104"/>
        <v>680.43518000000006</v>
      </c>
      <c r="Z150" s="145">
        <f t="shared" si="104"/>
        <v>113.18499</v>
      </c>
      <c r="AA150" s="145">
        <f t="shared" si="104"/>
        <v>185.86633</v>
      </c>
      <c r="AB150" s="145">
        <f t="shared" si="104"/>
        <v>153.07976000000002</v>
      </c>
      <c r="AC150" s="145">
        <f t="shared" si="104"/>
        <v>175.38441</v>
      </c>
      <c r="AD150" s="145">
        <f t="shared" si="104"/>
        <v>126.6773</v>
      </c>
      <c r="AE150" s="145">
        <f t="shared" si="104"/>
        <v>202.99389000000002</v>
      </c>
      <c r="AF150" s="74"/>
      <c r="AH150" s="38"/>
    </row>
    <row r="151" spans="1:34" s="37" customFormat="1" hidden="1" x14ac:dyDescent="0.25">
      <c r="A151" s="76" t="s">
        <v>103</v>
      </c>
      <c r="B151" s="147">
        <f t="shared" ref="B151:E151" si="105">B13</f>
        <v>18231.904830000003</v>
      </c>
      <c r="C151" s="147">
        <f t="shared" si="105"/>
        <v>18231.904829999999</v>
      </c>
      <c r="D151" s="147">
        <f t="shared" si="105"/>
        <v>16283.648929999999</v>
      </c>
      <c r="E151" s="147">
        <f t="shared" si="105"/>
        <v>15762.729640000001</v>
      </c>
      <c r="F151" s="79">
        <f t="shared" si="94"/>
        <v>0.86456844674084443</v>
      </c>
      <c r="G151" s="79">
        <f t="shared" si="95"/>
        <v>0.86456844674084454</v>
      </c>
      <c r="H151" s="147">
        <f t="shared" ref="H151:AE151" si="106">H13</f>
        <v>33.1</v>
      </c>
      <c r="I151" s="147">
        <f t="shared" si="106"/>
        <v>0</v>
      </c>
      <c r="J151" s="147">
        <f t="shared" si="106"/>
        <v>448.35199999999998</v>
      </c>
      <c r="K151" s="147">
        <f t="shared" si="106"/>
        <v>358.92627999999996</v>
      </c>
      <c r="L151" s="147">
        <f t="shared" si="106"/>
        <v>948.21299999999997</v>
      </c>
      <c r="M151" s="147">
        <f t="shared" si="106"/>
        <v>345.78565000000003</v>
      </c>
      <c r="N151" s="147">
        <f t="shared" si="106"/>
        <v>390.09200000000004</v>
      </c>
      <c r="O151" s="147">
        <f t="shared" si="106"/>
        <v>580.25194999999997</v>
      </c>
      <c r="P151" s="147">
        <f t="shared" si="106"/>
        <v>558.2964199999999</v>
      </c>
      <c r="Q151" s="147">
        <f t="shared" si="106"/>
        <v>365.14654999999999</v>
      </c>
      <c r="R151" s="147">
        <f t="shared" si="106"/>
        <v>4455.5525500000003</v>
      </c>
      <c r="S151" s="147">
        <f t="shared" si="106"/>
        <v>4005.34431</v>
      </c>
      <c r="T151" s="147">
        <f t="shared" si="106"/>
        <v>4829.5736000000006</v>
      </c>
      <c r="U151" s="147">
        <f t="shared" si="106"/>
        <v>4267.6555200000003</v>
      </c>
      <c r="V151" s="147">
        <f t="shared" si="106"/>
        <v>3734.16615</v>
      </c>
      <c r="W151" s="147">
        <f t="shared" si="106"/>
        <v>3669.9737600000003</v>
      </c>
      <c r="X151" s="147">
        <f t="shared" si="106"/>
        <v>981.36138999999991</v>
      </c>
      <c r="Y151" s="147">
        <f t="shared" si="106"/>
        <v>745.02215000000001</v>
      </c>
      <c r="Z151" s="147">
        <f t="shared" si="106"/>
        <v>807.10253999999998</v>
      </c>
      <c r="AA151" s="147">
        <f t="shared" si="106"/>
        <v>517.23154999999997</v>
      </c>
      <c r="AB151" s="147">
        <f t="shared" si="106"/>
        <v>496.49390999999997</v>
      </c>
      <c r="AC151" s="147">
        <f t="shared" si="106"/>
        <v>615.57918000000006</v>
      </c>
      <c r="AD151" s="147">
        <f t="shared" si="106"/>
        <v>549.60127</v>
      </c>
      <c r="AE151" s="147">
        <f t="shared" si="106"/>
        <v>291.81274000000002</v>
      </c>
      <c r="AF151" s="78"/>
      <c r="AH151" s="38"/>
    </row>
    <row r="152" spans="1:34" s="37" customFormat="1" ht="33" hidden="1" x14ac:dyDescent="0.25">
      <c r="A152" s="218" t="s">
        <v>153</v>
      </c>
      <c r="B152" s="161">
        <f t="shared" ref="B152:E152" si="107">B14</f>
        <v>0</v>
      </c>
      <c r="C152" s="161">
        <f t="shared" si="107"/>
        <v>0</v>
      </c>
      <c r="D152" s="161">
        <f t="shared" si="107"/>
        <v>0</v>
      </c>
      <c r="E152" s="161">
        <f t="shared" si="107"/>
        <v>0</v>
      </c>
      <c r="F152" s="81" t="e">
        <f t="shared" si="94"/>
        <v>#DIV/0!</v>
      </c>
      <c r="G152" s="81" t="e">
        <f t="shared" si="95"/>
        <v>#DIV/0!</v>
      </c>
      <c r="H152" s="161">
        <f t="shared" ref="H152:AE152" si="108">H14</f>
        <v>0</v>
      </c>
      <c r="I152" s="161">
        <f t="shared" si="108"/>
        <v>0</v>
      </c>
      <c r="J152" s="161">
        <f t="shared" si="108"/>
        <v>0</v>
      </c>
      <c r="K152" s="161">
        <f t="shared" si="108"/>
        <v>0</v>
      </c>
      <c r="L152" s="161">
        <f t="shared" si="108"/>
        <v>0</v>
      </c>
      <c r="M152" s="161">
        <f t="shared" si="108"/>
        <v>0</v>
      </c>
      <c r="N152" s="161">
        <f t="shared" si="108"/>
        <v>0</v>
      </c>
      <c r="O152" s="161">
        <f t="shared" si="108"/>
        <v>0</v>
      </c>
      <c r="P152" s="161">
        <f t="shared" si="108"/>
        <v>0</v>
      </c>
      <c r="Q152" s="161">
        <f t="shared" si="108"/>
        <v>0</v>
      </c>
      <c r="R152" s="161">
        <f t="shared" si="108"/>
        <v>0</v>
      </c>
      <c r="S152" s="161">
        <f t="shared" si="108"/>
        <v>0</v>
      </c>
      <c r="T152" s="161">
        <f t="shared" si="108"/>
        <v>0</v>
      </c>
      <c r="U152" s="161">
        <f t="shared" si="108"/>
        <v>0</v>
      </c>
      <c r="V152" s="161">
        <f t="shared" si="108"/>
        <v>0</v>
      </c>
      <c r="W152" s="161">
        <f t="shared" si="108"/>
        <v>0</v>
      </c>
      <c r="X152" s="161">
        <f t="shared" si="108"/>
        <v>0</v>
      </c>
      <c r="Y152" s="161">
        <f t="shared" si="108"/>
        <v>0</v>
      </c>
      <c r="Z152" s="161">
        <f t="shared" si="108"/>
        <v>0</v>
      </c>
      <c r="AA152" s="161">
        <f t="shared" si="108"/>
        <v>0</v>
      </c>
      <c r="AB152" s="161">
        <f t="shared" si="108"/>
        <v>0</v>
      </c>
      <c r="AC152" s="161">
        <f t="shared" si="108"/>
        <v>0</v>
      </c>
      <c r="AD152" s="161">
        <f t="shared" si="108"/>
        <v>0</v>
      </c>
      <c r="AE152" s="161">
        <f t="shared" si="108"/>
        <v>0</v>
      </c>
      <c r="AF152" s="217"/>
      <c r="AH152" s="38"/>
    </row>
    <row r="153" spans="1:34" s="37" customFormat="1" hidden="1" x14ac:dyDescent="0.25">
      <c r="A153" s="103" t="s">
        <v>154</v>
      </c>
      <c r="B153" s="161">
        <f t="shared" ref="B153:E153" si="109">B15</f>
        <v>0</v>
      </c>
      <c r="C153" s="161">
        <f t="shared" si="109"/>
        <v>0</v>
      </c>
      <c r="D153" s="161">
        <f t="shared" si="109"/>
        <v>0</v>
      </c>
      <c r="E153" s="161">
        <f t="shared" si="109"/>
        <v>0</v>
      </c>
      <c r="F153" s="81" t="e">
        <f t="shared" si="94"/>
        <v>#DIV/0!</v>
      </c>
      <c r="G153" s="81" t="e">
        <f t="shared" si="95"/>
        <v>#DIV/0!</v>
      </c>
      <c r="H153" s="161">
        <f t="shared" ref="H153:AE153" si="110">H15</f>
        <v>0</v>
      </c>
      <c r="I153" s="161">
        <f t="shared" si="110"/>
        <v>0</v>
      </c>
      <c r="J153" s="161">
        <f t="shared" si="110"/>
        <v>0</v>
      </c>
      <c r="K153" s="161">
        <f t="shared" si="110"/>
        <v>0</v>
      </c>
      <c r="L153" s="161">
        <f t="shared" si="110"/>
        <v>0</v>
      </c>
      <c r="M153" s="161">
        <f t="shared" si="110"/>
        <v>0</v>
      </c>
      <c r="N153" s="161">
        <f t="shared" si="110"/>
        <v>0</v>
      </c>
      <c r="O153" s="161">
        <f t="shared" si="110"/>
        <v>0</v>
      </c>
      <c r="P153" s="161">
        <f t="shared" si="110"/>
        <v>0</v>
      </c>
      <c r="Q153" s="161">
        <f t="shared" si="110"/>
        <v>0</v>
      </c>
      <c r="R153" s="161">
        <f t="shared" si="110"/>
        <v>0</v>
      </c>
      <c r="S153" s="161">
        <f t="shared" si="110"/>
        <v>0</v>
      </c>
      <c r="T153" s="161">
        <f t="shared" si="110"/>
        <v>0</v>
      </c>
      <c r="U153" s="161">
        <f t="shared" si="110"/>
        <v>0</v>
      </c>
      <c r="V153" s="161">
        <f t="shared" si="110"/>
        <v>0</v>
      </c>
      <c r="W153" s="161">
        <f t="shared" si="110"/>
        <v>0</v>
      </c>
      <c r="X153" s="161">
        <f t="shared" si="110"/>
        <v>0</v>
      </c>
      <c r="Y153" s="161">
        <f t="shared" si="110"/>
        <v>0</v>
      </c>
      <c r="Z153" s="161">
        <f t="shared" si="110"/>
        <v>0</v>
      </c>
      <c r="AA153" s="161">
        <f t="shared" si="110"/>
        <v>0</v>
      </c>
      <c r="AB153" s="161">
        <f t="shared" si="110"/>
        <v>0</v>
      </c>
      <c r="AC153" s="161">
        <f t="shared" si="110"/>
        <v>0</v>
      </c>
      <c r="AD153" s="161">
        <f t="shared" si="110"/>
        <v>0</v>
      </c>
      <c r="AE153" s="161">
        <f t="shared" si="110"/>
        <v>0</v>
      </c>
      <c r="AF153" s="217"/>
      <c r="AH153" s="38"/>
    </row>
    <row r="154" spans="1:34" s="37" customFormat="1" hidden="1" x14ac:dyDescent="0.25">
      <c r="A154" s="103" t="s">
        <v>154</v>
      </c>
      <c r="B154" s="161">
        <f t="shared" ref="B154:E154" si="111">B16</f>
        <v>0</v>
      </c>
      <c r="C154" s="161">
        <f t="shared" si="111"/>
        <v>0</v>
      </c>
      <c r="D154" s="161">
        <f t="shared" si="111"/>
        <v>0</v>
      </c>
      <c r="E154" s="161">
        <f t="shared" si="111"/>
        <v>0</v>
      </c>
      <c r="F154" s="81" t="e">
        <f t="shared" si="94"/>
        <v>#DIV/0!</v>
      </c>
      <c r="G154" s="81" t="e">
        <f t="shared" si="95"/>
        <v>#DIV/0!</v>
      </c>
      <c r="H154" s="161">
        <f t="shared" ref="H154:AE154" si="112">H16</f>
        <v>0</v>
      </c>
      <c r="I154" s="161">
        <f t="shared" si="112"/>
        <v>0</v>
      </c>
      <c r="J154" s="161">
        <f t="shared" si="112"/>
        <v>0</v>
      </c>
      <c r="K154" s="161">
        <f t="shared" si="112"/>
        <v>0</v>
      </c>
      <c r="L154" s="161">
        <f t="shared" si="112"/>
        <v>0</v>
      </c>
      <c r="M154" s="161">
        <f t="shared" si="112"/>
        <v>0</v>
      </c>
      <c r="N154" s="161">
        <f t="shared" si="112"/>
        <v>0</v>
      </c>
      <c r="O154" s="161">
        <f t="shared" si="112"/>
        <v>0</v>
      </c>
      <c r="P154" s="161">
        <f t="shared" si="112"/>
        <v>0</v>
      </c>
      <c r="Q154" s="161">
        <f t="shared" si="112"/>
        <v>0</v>
      </c>
      <c r="R154" s="161">
        <f t="shared" si="112"/>
        <v>0</v>
      </c>
      <c r="S154" s="161">
        <f t="shared" si="112"/>
        <v>0</v>
      </c>
      <c r="T154" s="161">
        <f t="shared" si="112"/>
        <v>0</v>
      </c>
      <c r="U154" s="161">
        <f t="shared" si="112"/>
        <v>0</v>
      </c>
      <c r="V154" s="161">
        <f t="shared" si="112"/>
        <v>0</v>
      </c>
      <c r="W154" s="161">
        <f t="shared" si="112"/>
        <v>0</v>
      </c>
      <c r="X154" s="161">
        <f t="shared" si="112"/>
        <v>0</v>
      </c>
      <c r="Y154" s="161">
        <f t="shared" si="112"/>
        <v>0</v>
      </c>
      <c r="Z154" s="161">
        <f t="shared" si="112"/>
        <v>0</v>
      </c>
      <c r="AA154" s="161">
        <f t="shared" si="112"/>
        <v>0</v>
      </c>
      <c r="AB154" s="161">
        <f t="shared" si="112"/>
        <v>0</v>
      </c>
      <c r="AC154" s="161">
        <f t="shared" si="112"/>
        <v>0</v>
      </c>
      <c r="AD154" s="161">
        <f t="shared" si="112"/>
        <v>0</v>
      </c>
      <c r="AE154" s="161">
        <f t="shared" si="112"/>
        <v>0</v>
      </c>
      <c r="AF154" s="78"/>
      <c r="AH154" s="38"/>
    </row>
    <row r="155" spans="1:34" s="64" customFormat="1" ht="30" customHeight="1" x14ac:dyDescent="0.25">
      <c r="A155" s="68" t="s">
        <v>21</v>
      </c>
      <c r="B155" s="142">
        <f>B156</f>
        <v>21244.849830000003</v>
      </c>
      <c r="C155" s="142">
        <f t="shared" ref="C155:AD155" si="113">C156</f>
        <v>21244.849829999999</v>
      </c>
      <c r="D155" s="142">
        <f t="shared" si="113"/>
        <v>19128.018840000001</v>
      </c>
      <c r="E155" s="142">
        <f t="shared" si="113"/>
        <v>18607.100600000002</v>
      </c>
      <c r="F155" s="128">
        <f t="shared" si="94"/>
        <v>0.87584053306532594</v>
      </c>
      <c r="G155" s="128">
        <f t="shared" si="95"/>
        <v>0.87584053306532605</v>
      </c>
      <c r="H155" s="142">
        <f>H156</f>
        <v>33.1</v>
      </c>
      <c r="I155" s="142">
        <f t="shared" si="113"/>
        <v>0</v>
      </c>
      <c r="J155" s="142">
        <f>J156</f>
        <v>465.21198999999996</v>
      </c>
      <c r="K155" s="142">
        <f t="shared" si="113"/>
        <v>358.92627999999996</v>
      </c>
      <c r="L155" s="142">
        <f t="shared" si="113"/>
        <v>1010.54799</v>
      </c>
      <c r="M155" s="142">
        <f t="shared" si="113"/>
        <v>345.78565000000003</v>
      </c>
      <c r="N155" s="142">
        <f t="shared" si="113"/>
        <v>455.10202000000004</v>
      </c>
      <c r="O155" s="142">
        <f t="shared" si="113"/>
        <v>709.60320000000002</v>
      </c>
      <c r="P155" s="142">
        <f>P156</f>
        <v>700.42084999999997</v>
      </c>
      <c r="Q155" s="142">
        <f t="shared" si="113"/>
        <v>430.36131999999998</v>
      </c>
      <c r="R155" s="142">
        <f t="shared" si="113"/>
        <v>5102.4375400000008</v>
      </c>
      <c r="S155" s="142">
        <f t="shared" si="113"/>
        <v>4607.7413099999994</v>
      </c>
      <c r="T155" s="142">
        <f>T156</f>
        <v>5143.508600000001</v>
      </c>
      <c r="U155" s="142">
        <f t="shared" si="113"/>
        <v>4397.0908500000005</v>
      </c>
      <c r="V155" s="142">
        <f t="shared" si="113"/>
        <v>4993.8346899999997</v>
      </c>
      <c r="W155" s="142">
        <f t="shared" si="113"/>
        <v>4343.26656</v>
      </c>
      <c r="X155" s="142">
        <f>X156</f>
        <v>1094.54638</v>
      </c>
      <c r="Y155" s="142">
        <f t="shared" si="113"/>
        <v>1425.4573300000002</v>
      </c>
      <c r="Z155" s="142">
        <f t="shared" si="113"/>
        <v>920.28752999999995</v>
      </c>
      <c r="AA155" s="142">
        <f t="shared" si="113"/>
        <v>703.09788000000003</v>
      </c>
      <c r="AB155" s="142">
        <f t="shared" si="113"/>
        <v>649.57366999999999</v>
      </c>
      <c r="AC155" s="142">
        <f t="shared" si="113"/>
        <v>790.96359000000007</v>
      </c>
      <c r="AD155" s="142">
        <f t="shared" si="113"/>
        <v>676.27856999999995</v>
      </c>
      <c r="AE155" s="169"/>
      <c r="AF155" s="63"/>
      <c r="AH155" s="65"/>
    </row>
    <row r="156" spans="1:34" s="37" customFormat="1" x14ac:dyDescent="0.25">
      <c r="A156" s="89" t="s">
        <v>25</v>
      </c>
      <c r="B156" s="143">
        <f>B158+B159</f>
        <v>21244.849830000003</v>
      </c>
      <c r="C156" s="143">
        <f>C158+C159</f>
        <v>21244.849829999999</v>
      </c>
      <c r="D156" s="143">
        <f t="shared" ref="D156" si="114">D158+D159</f>
        <v>19128.018840000001</v>
      </c>
      <c r="E156" s="143">
        <f>E158+E159</f>
        <v>18607.100600000002</v>
      </c>
      <c r="F156" s="90">
        <f t="shared" si="94"/>
        <v>0.87584053306532594</v>
      </c>
      <c r="G156" s="90">
        <f t="shared" si="95"/>
        <v>0.87584053306532605</v>
      </c>
      <c r="H156" s="143">
        <f t="shared" ref="H156:AE156" si="115">H158+H159</f>
        <v>33.1</v>
      </c>
      <c r="I156" s="143">
        <f t="shared" si="115"/>
        <v>0</v>
      </c>
      <c r="J156" s="143">
        <f t="shared" si="115"/>
        <v>465.21198999999996</v>
      </c>
      <c r="K156" s="143">
        <f t="shared" si="115"/>
        <v>358.92627999999996</v>
      </c>
      <c r="L156" s="143">
        <f t="shared" si="115"/>
        <v>1010.54799</v>
      </c>
      <c r="M156" s="143">
        <f t="shared" si="115"/>
        <v>345.78565000000003</v>
      </c>
      <c r="N156" s="143">
        <f t="shared" si="115"/>
        <v>455.10202000000004</v>
      </c>
      <c r="O156" s="143">
        <f t="shared" si="115"/>
        <v>709.60320000000002</v>
      </c>
      <c r="P156" s="143">
        <f t="shared" si="115"/>
        <v>700.42084999999997</v>
      </c>
      <c r="Q156" s="143">
        <f t="shared" si="115"/>
        <v>430.36131999999998</v>
      </c>
      <c r="R156" s="143">
        <f t="shared" si="115"/>
        <v>5102.4375400000008</v>
      </c>
      <c r="S156" s="143">
        <f t="shared" si="115"/>
        <v>4607.7413099999994</v>
      </c>
      <c r="T156" s="143">
        <f t="shared" si="115"/>
        <v>5143.508600000001</v>
      </c>
      <c r="U156" s="143">
        <f t="shared" si="115"/>
        <v>4397.0908500000005</v>
      </c>
      <c r="V156" s="143">
        <f t="shared" si="115"/>
        <v>4993.8346899999997</v>
      </c>
      <c r="W156" s="143">
        <f t="shared" si="115"/>
        <v>4343.26656</v>
      </c>
      <c r="X156" s="143">
        <f t="shared" si="115"/>
        <v>1094.54638</v>
      </c>
      <c r="Y156" s="143">
        <f t="shared" si="115"/>
        <v>1425.4573300000002</v>
      </c>
      <c r="Z156" s="143">
        <f t="shared" si="115"/>
        <v>920.28752999999995</v>
      </c>
      <c r="AA156" s="143">
        <f t="shared" si="115"/>
        <v>703.09788000000003</v>
      </c>
      <c r="AB156" s="143">
        <f t="shared" si="115"/>
        <v>649.57366999999999</v>
      </c>
      <c r="AC156" s="143">
        <f t="shared" si="115"/>
        <v>790.96359000000007</v>
      </c>
      <c r="AD156" s="143">
        <f t="shared" si="115"/>
        <v>676.27856999999995</v>
      </c>
      <c r="AE156" s="143">
        <f t="shared" si="115"/>
        <v>494.80663000000004</v>
      </c>
      <c r="AF156" s="91"/>
      <c r="AH156" s="38"/>
    </row>
    <row r="157" spans="1:34" s="37" customFormat="1" x14ac:dyDescent="0.25">
      <c r="A157" s="103" t="s">
        <v>152</v>
      </c>
      <c r="B157" s="161">
        <f>B149</f>
        <v>0</v>
      </c>
      <c r="C157" s="161">
        <f t="shared" ref="C157:E157" si="116">C149</f>
        <v>0</v>
      </c>
      <c r="D157" s="161">
        <f t="shared" si="116"/>
        <v>0</v>
      </c>
      <c r="E157" s="161">
        <f t="shared" si="116"/>
        <v>0</v>
      </c>
      <c r="F157" s="81" t="e">
        <f t="shared" si="94"/>
        <v>#DIV/0!</v>
      </c>
      <c r="G157" s="81" t="e">
        <f t="shared" si="95"/>
        <v>#DIV/0!</v>
      </c>
      <c r="H157" s="161">
        <f>H149</f>
        <v>0</v>
      </c>
      <c r="I157" s="161">
        <f t="shared" ref="I157:AE157" si="117">I149</f>
        <v>0</v>
      </c>
      <c r="J157" s="161">
        <f t="shared" si="117"/>
        <v>0</v>
      </c>
      <c r="K157" s="161">
        <f t="shared" si="117"/>
        <v>0</v>
      </c>
      <c r="L157" s="161">
        <f t="shared" si="117"/>
        <v>0</v>
      </c>
      <c r="M157" s="161">
        <f t="shared" si="117"/>
        <v>0</v>
      </c>
      <c r="N157" s="161">
        <f t="shared" si="117"/>
        <v>0</v>
      </c>
      <c r="O157" s="161">
        <f t="shared" si="117"/>
        <v>0</v>
      </c>
      <c r="P157" s="161">
        <f t="shared" si="117"/>
        <v>0</v>
      </c>
      <c r="Q157" s="161">
        <f t="shared" si="117"/>
        <v>0</v>
      </c>
      <c r="R157" s="161">
        <f t="shared" si="117"/>
        <v>0</v>
      </c>
      <c r="S157" s="161">
        <f t="shared" si="117"/>
        <v>0</v>
      </c>
      <c r="T157" s="161">
        <f t="shared" si="117"/>
        <v>0</v>
      </c>
      <c r="U157" s="161">
        <f t="shared" si="117"/>
        <v>0</v>
      </c>
      <c r="V157" s="161">
        <f t="shared" si="117"/>
        <v>0</v>
      </c>
      <c r="W157" s="161">
        <f t="shared" si="117"/>
        <v>0</v>
      </c>
      <c r="X157" s="161">
        <f t="shared" si="117"/>
        <v>0</v>
      </c>
      <c r="Y157" s="161">
        <f t="shared" si="117"/>
        <v>0</v>
      </c>
      <c r="Z157" s="161">
        <f t="shared" si="117"/>
        <v>0</v>
      </c>
      <c r="AA157" s="161">
        <f t="shared" si="117"/>
        <v>0</v>
      </c>
      <c r="AB157" s="161">
        <f t="shared" si="117"/>
        <v>0</v>
      </c>
      <c r="AC157" s="161">
        <f t="shared" si="117"/>
        <v>0</v>
      </c>
      <c r="AD157" s="161">
        <f t="shared" si="117"/>
        <v>0</v>
      </c>
      <c r="AE157" s="161">
        <f t="shared" si="117"/>
        <v>0</v>
      </c>
      <c r="AF157" s="216"/>
      <c r="AH157" s="38"/>
    </row>
    <row r="158" spans="1:34" s="37" customFormat="1" x14ac:dyDescent="0.25">
      <c r="A158" s="72" t="s">
        <v>102</v>
      </c>
      <c r="B158" s="145">
        <f t="shared" ref="B158:E158" si="118">B150</f>
        <v>3012.9450000000006</v>
      </c>
      <c r="C158" s="145">
        <f t="shared" si="118"/>
        <v>3012.9450000000002</v>
      </c>
      <c r="D158" s="145">
        <f t="shared" si="118"/>
        <v>2844.3699100000003</v>
      </c>
      <c r="E158" s="145">
        <f t="shared" si="118"/>
        <v>2844.3709599999997</v>
      </c>
      <c r="F158" s="75">
        <f t="shared" si="94"/>
        <v>0.94405007724999934</v>
      </c>
      <c r="G158" s="75">
        <f t="shared" si="95"/>
        <v>0.94405007724999945</v>
      </c>
      <c r="H158" s="145">
        <f t="shared" ref="H158:AE158" si="119">H150</f>
        <v>0</v>
      </c>
      <c r="I158" s="145">
        <f t="shared" si="119"/>
        <v>0</v>
      </c>
      <c r="J158" s="145">
        <f t="shared" si="119"/>
        <v>16.859990000000003</v>
      </c>
      <c r="K158" s="145">
        <f t="shared" si="119"/>
        <v>0</v>
      </c>
      <c r="L158" s="145">
        <f t="shared" si="119"/>
        <v>62.334990000000005</v>
      </c>
      <c r="M158" s="145">
        <f t="shared" si="119"/>
        <v>0</v>
      </c>
      <c r="N158" s="145">
        <f t="shared" si="119"/>
        <v>65.010019999999997</v>
      </c>
      <c r="O158" s="145">
        <f t="shared" si="119"/>
        <v>129.35124999999999</v>
      </c>
      <c r="P158" s="145">
        <f t="shared" si="119"/>
        <v>142.12443000000002</v>
      </c>
      <c r="Q158" s="145">
        <f t="shared" si="119"/>
        <v>65.214770000000001</v>
      </c>
      <c r="R158" s="145">
        <f t="shared" si="119"/>
        <v>646.88499000000002</v>
      </c>
      <c r="S158" s="145">
        <f t="shared" si="119"/>
        <v>602.39699999999993</v>
      </c>
      <c r="T158" s="145">
        <f t="shared" si="119"/>
        <v>313.93500000000006</v>
      </c>
      <c r="U158" s="145">
        <f t="shared" si="119"/>
        <v>129.43532999999999</v>
      </c>
      <c r="V158" s="145">
        <f t="shared" si="119"/>
        <v>1259.6685400000001</v>
      </c>
      <c r="W158" s="145">
        <f t="shared" si="119"/>
        <v>673.29280000000006</v>
      </c>
      <c r="X158" s="145">
        <f t="shared" si="119"/>
        <v>113.18499</v>
      </c>
      <c r="Y158" s="145">
        <f t="shared" si="119"/>
        <v>680.43518000000006</v>
      </c>
      <c r="Z158" s="145">
        <f t="shared" si="119"/>
        <v>113.18499</v>
      </c>
      <c r="AA158" s="145">
        <f t="shared" si="119"/>
        <v>185.86633</v>
      </c>
      <c r="AB158" s="145">
        <f t="shared" si="119"/>
        <v>153.07976000000002</v>
      </c>
      <c r="AC158" s="145">
        <f t="shared" si="119"/>
        <v>175.38441</v>
      </c>
      <c r="AD158" s="145">
        <f t="shared" si="119"/>
        <v>126.6773</v>
      </c>
      <c r="AE158" s="145">
        <f t="shared" si="119"/>
        <v>202.99389000000002</v>
      </c>
      <c r="AF158" s="74"/>
      <c r="AH158" s="38"/>
    </row>
    <row r="159" spans="1:34" s="37" customFormat="1" x14ac:dyDescent="0.25">
      <c r="A159" s="76" t="s">
        <v>103</v>
      </c>
      <c r="B159" s="147">
        <f t="shared" ref="B159:E159" si="120">B151</f>
        <v>18231.904830000003</v>
      </c>
      <c r="C159" s="147">
        <f t="shared" si="120"/>
        <v>18231.904829999999</v>
      </c>
      <c r="D159" s="147">
        <f t="shared" si="120"/>
        <v>16283.648929999999</v>
      </c>
      <c r="E159" s="147">
        <f t="shared" si="120"/>
        <v>15762.729640000001</v>
      </c>
      <c r="F159" s="79">
        <f t="shared" si="94"/>
        <v>0.86456844674084443</v>
      </c>
      <c r="G159" s="79">
        <f t="shared" si="95"/>
        <v>0.86456844674084454</v>
      </c>
      <c r="H159" s="147">
        <f t="shared" ref="H159:AE159" si="121">H151</f>
        <v>33.1</v>
      </c>
      <c r="I159" s="147">
        <f t="shared" si="121"/>
        <v>0</v>
      </c>
      <c r="J159" s="147">
        <f t="shared" si="121"/>
        <v>448.35199999999998</v>
      </c>
      <c r="K159" s="147">
        <f t="shared" si="121"/>
        <v>358.92627999999996</v>
      </c>
      <c r="L159" s="147">
        <f t="shared" si="121"/>
        <v>948.21299999999997</v>
      </c>
      <c r="M159" s="147">
        <f t="shared" si="121"/>
        <v>345.78565000000003</v>
      </c>
      <c r="N159" s="147">
        <f t="shared" si="121"/>
        <v>390.09200000000004</v>
      </c>
      <c r="O159" s="147">
        <f t="shared" si="121"/>
        <v>580.25194999999997</v>
      </c>
      <c r="P159" s="147">
        <f t="shared" si="121"/>
        <v>558.2964199999999</v>
      </c>
      <c r="Q159" s="147">
        <f t="shared" si="121"/>
        <v>365.14654999999999</v>
      </c>
      <c r="R159" s="147">
        <f t="shared" si="121"/>
        <v>4455.5525500000003</v>
      </c>
      <c r="S159" s="147">
        <f t="shared" si="121"/>
        <v>4005.34431</v>
      </c>
      <c r="T159" s="147">
        <f t="shared" si="121"/>
        <v>4829.5736000000006</v>
      </c>
      <c r="U159" s="147">
        <f t="shared" si="121"/>
        <v>4267.6555200000003</v>
      </c>
      <c r="V159" s="147">
        <f t="shared" si="121"/>
        <v>3734.16615</v>
      </c>
      <c r="W159" s="147">
        <f t="shared" si="121"/>
        <v>3669.9737600000003</v>
      </c>
      <c r="X159" s="147">
        <f t="shared" si="121"/>
        <v>981.36138999999991</v>
      </c>
      <c r="Y159" s="147">
        <f t="shared" si="121"/>
        <v>745.02215000000001</v>
      </c>
      <c r="Z159" s="147">
        <f t="shared" si="121"/>
        <v>807.10253999999998</v>
      </c>
      <c r="AA159" s="147">
        <f t="shared" si="121"/>
        <v>517.23154999999997</v>
      </c>
      <c r="AB159" s="147">
        <f t="shared" si="121"/>
        <v>496.49390999999997</v>
      </c>
      <c r="AC159" s="147">
        <f t="shared" si="121"/>
        <v>615.57918000000006</v>
      </c>
      <c r="AD159" s="147">
        <f t="shared" si="121"/>
        <v>549.60127</v>
      </c>
      <c r="AE159" s="147">
        <f t="shared" si="121"/>
        <v>291.81274000000002</v>
      </c>
      <c r="AF159" s="78"/>
      <c r="AH159" s="38"/>
    </row>
    <row r="160" spans="1:34" s="37" customFormat="1" ht="33" x14ac:dyDescent="0.25">
      <c r="A160" s="218" t="s">
        <v>153</v>
      </c>
      <c r="B160" s="161">
        <f t="shared" ref="B160:E160" si="122">B152</f>
        <v>0</v>
      </c>
      <c r="C160" s="161">
        <f t="shared" si="122"/>
        <v>0</v>
      </c>
      <c r="D160" s="161">
        <f t="shared" si="122"/>
        <v>0</v>
      </c>
      <c r="E160" s="161">
        <f t="shared" si="122"/>
        <v>0</v>
      </c>
      <c r="F160" s="81" t="e">
        <f t="shared" si="94"/>
        <v>#DIV/0!</v>
      </c>
      <c r="G160" s="81" t="e">
        <f t="shared" si="95"/>
        <v>#DIV/0!</v>
      </c>
      <c r="H160" s="161">
        <f t="shared" ref="H160:AE160" si="123">H152</f>
        <v>0</v>
      </c>
      <c r="I160" s="161">
        <f t="shared" si="123"/>
        <v>0</v>
      </c>
      <c r="J160" s="161">
        <f t="shared" si="123"/>
        <v>0</v>
      </c>
      <c r="K160" s="161">
        <f t="shared" si="123"/>
        <v>0</v>
      </c>
      <c r="L160" s="161">
        <f t="shared" si="123"/>
        <v>0</v>
      </c>
      <c r="M160" s="161">
        <f t="shared" si="123"/>
        <v>0</v>
      </c>
      <c r="N160" s="161">
        <f t="shared" si="123"/>
        <v>0</v>
      </c>
      <c r="O160" s="161">
        <f t="shared" si="123"/>
        <v>0</v>
      </c>
      <c r="P160" s="161">
        <f t="shared" si="123"/>
        <v>0</v>
      </c>
      <c r="Q160" s="161">
        <f t="shared" si="123"/>
        <v>0</v>
      </c>
      <c r="R160" s="161">
        <f t="shared" si="123"/>
        <v>0</v>
      </c>
      <c r="S160" s="161">
        <f t="shared" si="123"/>
        <v>0</v>
      </c>
      <c r="T160" s="161">
        <f t="shared" si="123"/>
        <v>0</v>
      </c>
      <c r="U160" s="161">
        <f t="shared" si="123"/>
        <v>0</v>
      </c>
      <c r="V160" s="161">
        <f t="shared" si="123"/>
        <v>0</v>
      </c>
      <c r="W160" s="161">
        <f t="shared" si="123"/>
        <v>0</v>
      </c>
      <c r="X160" s="161">
        <f t="shared" si="123"/>
        <v>0</v>
      </c>
      <c r="Y160" s="161">
        <f t="shared" si="123"/>
        <v>0</v>
      </c>
      <c r="Z160" s="161">
        <f t="shared" si="123"/>
        <v>0</v>
      </c>
      <c r="AA160" s="161">
        <f t="shared" si="123"/>
        <v>0</v>
      </c>
      <c r="AB160" s="161">
        <f t="shared" si="123"/>
        <v>0</v>
      </c>
      <c r="AC160" s="161">
        <f t="shared" si="123"/>
        <v>0</v>
      </c>
      <c r="AD160" s="161">
        <f t="shared" si="123"/>
        <v>0</v>
      </c>
      <c r="AE160" s="161">
        <f t="shared" si="123"/>
        <v>0</v>
      </c>
      <c r="AF160" s="217"/>
      <c r="AH160" s="38"/>
    </row>
    <row r="161" spans="1:34" s="37" customFormat="1" x14ac:dyDescent="0.25">
      <c r="A161" s="103" t="s">
        <v>154</v>
      </c>
      <c r="B161" s="161">
        <f t="shared" ref="B161:E161" si="124">B153</f>
        <v>0</v>
      </c>
      <c r="C161" s="161">
        <f t="shared" si="124"/>
        <v>0</v>
      </c>
      <c r="D161" s="161">
        <f t="shared" si="124"/>
        <v>0</v>
      </c>
      <c r="E161" s="161">
        <f t="shared" si="124"/>
        <v>0</v>
      </c>
      <c r="F161" s="81" t="e">
        <f t="shared" si="94"/>
        <v>#DIV/0!</v>
      </c>
      <c r="G161" s="81" t="e">
        <f t="shared" si="95"/>
        <v>#DIV/0!</v>
      </c>
      <c r="H161" s="161">
        <f t="shared" ref="H161:AE161" si="125">H153</f>
        <v>0</v>
      </c>
      <c r="I161" s="161">
        <f t="shared" si="125"/>
        <v>0</v>
      </c>
      <c r="J161" s="161">
        <f t="shared" si="125"/>
        <v>0</v>
      </c>
      <c r="K161" s="161">
        <f t="shared" si="125"/>
        <v>0</v>
      </c>
      <c r="L161" s="161">
        <f t="shared" si="125"/>
        <v>0</v>
      </c>
      <c r="M161" s="161">
        <f t="shared" si="125"/>
        <v>0</v>
      </c>
      <c r="N161" s="161">
        <f t="shared" si="125"/>
        <v>0</v>
      </c>
      <c r="O161" s="161">
        <f t="shared" si="125"/>
        <v>0</v>
      </c>
      <c r="P161" s="161">
        <f t="shared" si="125"/>
        <v>0</v>
      </c>
      <c r="Q161" s="161">
        <f t="shared" si="125"/>
        <v>0</v>
      </c>
      <c r="R161" s="161">
        <f t="shared" si="125"/>
        <v>0</v>
      </c>
      <c r="S161" s="161">
        <f t="shared" si="125"/>
        <v>0</v>
      </c>
      <c r="T161" s="161">
        <f t="shared" si="125"/>
        <v>0</v>
      </c>
      <c r="U161" s="161">
        <f t="shared" si="125"/>
        <v>0</v>
      </c>
      <c r="V161" s="161">
        <f t="shared" si="125"/>
        <v>0</v>
      </c>
      <c r="W161" s="161">
        <f t="shared" si="125"/>
        <v>0</v>
      </c>
      <c r="X161" s="161">
        <f t="shared" si="125"/>
        <v>0</v>
      </c>
      <c r="Y161" s="161">
        <f t="shared" si="125"/>
        <v>0</v>
      </c>
      <c r="Z161" s="161">
        <f t="shared" si="125"/>
        <v>0</v>
      </c>
      <c r="AA161" s="161">
        <f t="shared" si="125"/>
        <v>0</v>
      </c>
      <c r="AB161" s="161">
        <f t="shared" si="125"/>
        <v>0</v>
      </c>
      <c r="AC161" s="161">
        <f t="shared" si="125"/>
        <v>0</v>
      </c>
      <c r="AD161" s="161">
        <f t="shared" si="125"/>
        <v>0</v>
      </c>
      <c r="AE161" s="161">
        <f t="shared" si="125"/>
        <v>0</v>
      </c>
      <c r="AF161" s="78"/>
      <c r="AH161" s="38"/>
    </row>
    <row r="162" spans="1:34" s="37" customFormat="1" ht="51" customHeight="1" x14ac:dyDescent="0.25">
      <c r="A162" s="93" t="s">
        <v>109</v>
      </c>
      <c r="B162" s="165">
        <f t="shared" ref="B162:AD162" si="126">B166+B167</f>
        <v>3186.2019999999993</v>
      </c>
      <c r="C162" s="165">
        <f t="shared" si="126"/>
        <v>3186.2019999999993</v>
      </c>
      <c r="D162" s="165">
        <f t="shared" si="126"/>
        <v>3034.6978199999999</v>
      </c>
      <c r="E162" s="165">
        <f t="shared" si="126"/>
        <v>3034.6978199999999</v>
      </c>
      <c r="F162" s="134">
        <f t="shared" si="94"/>
        <v>0.95244991372172905</v>
      </c>
      <c r="G162" s="134">
        <f t="shared" si="95"/>
        <v>0.95244991372172905</v>
      </c>
      <c r="H162" s="165">
        <f t="shared" si="126"/>
        <v>549.18630000000007</v>
      </c>
      <c r="I162" s="165">
        <f t="shared" si="126"/>
        <v>501.40995000000004</v>
      </c>
      <c r="J162" s="165">
        <f t="shared" si="126"/>
        <v>252.65505999999999</v>
      </c>
      <c r="K162" s="165">
        <f t="shared" si="126"/>
        <v>270.34140000000002</v>
      </c>
      <c r="L162" s="165">
        <f t="shared" si="126"/>
        <v>107.53406</v>
      </c>
      <c r="M162" s="165">
        <f t="shared" si="126"/>
        <v>108.55</v>
      </c>
      <c r="N162" s="165">
        <f t="shared" si="126"/>
        <v>275.43006000000003</v>
      </c>
      <c r="O162" s="165">
        <f t="shared" si="126"/>
        <v>260.88</v>
      </c>
      <c r="P162" s="165">
        <f t="shared" si="126"/>
        <v>160.66806</v>
      </c>
      <c r="Q162" s="165">
        <f t="shared" si="126"/>
        <v>131.81647000000001</v>
      </c>
      <c r="R162" s="165">
        <f t="shared" si="126"/>
        <v>404.28805999999997</v>
      </c>
      <c r="S162" s="165">
        <f t="shared" si="126"/>
        <v>352.72</v>
      </c>
      <c r="T162" s="165">
        <f t="shared" si="126"/>
        <v>306.48205999999999</v>
      </c>
      <c r="U162" s="165">
        <f t="shared" si="126"/>
        <v>316.20999999999998</v>
      </c>
      <c r="V162" s="165">
        <f t="shared" si="126"/>
        <v>379.95206000000002</v>
      </c>
      <c r="W162" s="165">
        <f t="shared" si="126"/>
        <v>362</v>
      </c>
      <c r="X162" s="165">
        <f t="shared" si="126"/>
        <v>192.69406000000001</v>
      </c>
      <c r="Y162" s="165">
        <f t="shared" si="126"/>
        <v>155.37</v>
      </c>
      <c r="Z162" s="165">
        <f t="shared" si="126"/>
        <v>178.84729999999999</v>
      </c>
      <c r="AA162" s="165">
        <f t="shared" si="126"/>
        <v>231.4</v>
      </c>
      <c r="AB162" s="165">
        <f t="shared" si="126"/>
        <v>114.81394</v>
      </c>
      <c r="AC162" s="165">
        <f t="shared" si="126"/>
        <v>126.19</v>
      </c>
      <c r="AD162" s="165">
        <f t="shared" si="126"/>
        <v>263.65098</v>
      </c>
      <c r="AE162" s="187"/>
      <c r="AF162" s="42"/>
      <c r="AG162" s="108"/>
      <c r="AH162" s="38"/>
    </row>
    <row r="163" spans="1:34" s="37" customFormat="1" ht="69.75" customHeight="1" x14ac:dyDescent="0.2">
      <c r="A163" s="195" t="s">
        <v>138</v>
      </c>
      <c r="B163" s="196"/>
      <c r="C163" s="196"/>
      <c r="D163" s="196"/>
      <c r="E163" s="196"/>
      <c r="F163" s="197"/>
      <c r="G163" s="197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8"/>
      <c r="AF163" s="199"/>
      <c r="AH163" s="38"/>
    </row>
    <row r="164" spans="1:34" s="37" customFormat="1" x14ac:dyDescent="0.25">
      <c r="A164" s="69" t="s">
        <v>25</v>
      </c>
      <c r="B164" s="151">
        <f>B166+B167</f>
        <v>3186.2019999999993</v>
      </c>
      <c r="C164" s="151">
        <f t="shared" ref="C164:AD164" si="127">C166+C167</f>
        <v>3186.2019999999993</v>
      </c>
      <c r="D164" s="151">
        <f t="shared" si="127"/>
        <v>3034.6978199999999</v>
      </c>
      <c r="E164" s="151">
        <f t="shared" si="127"/>
        <v>3034.6978199999999</v>
      </c>
      <c r="F164" s="70">
        <f>E164/B164</f>
        <v>0.95244991372172905</v>
      </c>
      <c r="G164" s="70">
        <f t="shared" ref="G164:G180" si="128">E164/C164</f>
        <v>0.95244991372172905</v>
      </c>
      <c r="H164" s="151">
        <f>H166+H167</f>
        <v>549.18630000000007</v>
      </c>
      <c r="I164" s="151">
        <f t="shared" si="127"/>
        <v>501.40995000000004</v>
      </c>
      <c r="J164" s="151">
        <f>J166+J167</f>
        <v>252.65505999999999</v>
      </c>
      <c r="K164" s="151">
        <f t="shared" si="127"/>
        <v>270.34140000000002</v>
      </c>
      <c r="L164" s="151">
        <f>L166+L167</f>
        <v>107.53406</v>
      </c>
      <c r="M164" s="151">
        <f t="shared" si="127"/>
        <v>108.55</v>
      </c>
      <c r="N164" s="151">
        <f>N166+N167</f>
        <v>275.43006000000003</v>
      </c>
      <c r="O164" s="151">
        <f t="shared" si="127"/>
        <v>260.88</v>
      </c>
      <c r="P164" s="151">
        <f t="shared" si="127"/>
        <v>160.66806</v>
      </c>
      <c r="Q164" s="151">
        <f t="shared" si="127"/>
        <v>131.81647000000001</v>
      </c>
      <c r="R164" s="151">
        <f t="shared" si="127"/>
        <v>404.28805999999997</v>
      </c>
      <c r="S164" s="151">
        <f t="shared" si="127"/>
        <v>352.72</v>
      </c>
      <c r="T164" s="151">
        <f t="shared" si="127"/>
        <v>306.48205999999999</v>
      </c>
      <c r="U164" s="151">
        <f t="shared" si="127"/>
        <v>316.20999999999998</v>
      </c>
      <c r="V164" s="151">
        <f t="shared" si="127"/>
        <v>379.95206000000002</v>
      </c>
      <c r="W164" s="151">
        <f t="shared" si="127"/>
        <v>362</v>
      </c>
      <c r="X164" s="151">
        <f t="shared" si="127"/>
        <v>192.69406000000001</v>
      </c>
      <c r="Y164" s="151">
        <f t="shared" si="127"/>
        <v>155.37</v>
      </c>
      <c r="Z164" s="151">
        <f t="shared" si="127"/>
        <v>178.84729999999999</v>
      </c>
      <c r="AA164" s="151">
        <f t="shared" si="127"/>
        <v>231.4</v>
      </c>
      <c r="AB164" s="151">
        <f t="shared" si="127"/>
        <v>114.81394</v>
      </c>
      <c r="AC164" s="151">
        <f t="shared" si="127"/>
        <v>126.19</v>
      </c>
      <c r="AD164" s="151">
        <f t="shared" si="127"/>
        <v>263.65098</v>
      </c>
      <c r="AE164" s="184">
        <f t="shared" ref="AE164" si="129">AE166</f>
        <v>0</v>
      </c>
      <c r="AF164" s="41"/>
      <c r="AG164" s="108"/>
      <c r="AH164" s="38"/>
    </row>
    <row r="165" spans="1:34" s="37" customFormat="1" x14ac:dyDescent="0.25">
      <c r="A165" s="103" t="s">
        <v>152</v>
      </c>
      <c r="B165" s="161">
        <v>0</v>
      </c>
      <c r="C165" s="161">
        <v>0</v>
      </c>
      <c r="D165" s="161">
        <v>0</v>
      </c>
      <c r="E165" s="161">
        <v>0</v>
      </c>
      <c r="F165" s="81" t="e">
        <f>E165/B165</f>
        <v>#DIV/0!</v>
      </c>
      <c r="G165" s="81" t="e">
        <f>E165/C165</f>
        <v>#DIV/0!</v>
      </c>
      <c r="H165" s="161">
        <v>0</v>
      </c>
      <c r="I165" s="161">
        <v>0</v>
      </c>
      <c r="J165" s="161">
        <v>0</v>
      </c>
      <c r="K165" s="161">
        <v>0</v>
      </c>
      <c r="L165" s="161">
        <v>0</v>
      </c>
      <c r="M165" s="161">
        <v>0</v>
      </c>
      <c r="N165" s="161">
        <v>0</v>
      </c>
      <c r="O165" s="161">
        <v>0</v>
      </c>
      <c r="P165" s="161">
        <v>0</v>
      </c>
      <c r="Q165" s="161">
        <v>0</v>
      </c>
      <c r="R165" s="161">
        <v>0</v>
      </c>
      <c r="S165" s="161">
        <v>0</v>
      </c>
      <c r="T165" s="161">
        <v>0</v>
      </c>
      <c r="U165" s="161">
        <v>0</v>
      </c>
      <c r="V165" s="161">
        <v>0</v>
      </c>
      <c r="W165" s="161">
        <v>0</v>
      </c>
      <c r="X165" s="161">
        <v>0</v>
      </c>
      <c r="Y165" s="161">
        <v>0</v>
      </c>
      <c r="Z165" s="161">
        <v>0</v>
      </c>
      <c r="AA165" s="161">
        <v>0</v>
      </c>
      <c r="AB165" s="161">
        <v>0</v>
      </c>
      <c r="AC165" s="161">
        <v>0</v>
      </c>
      <c r="AD165" s="161">
        <v>0</v>
      </c>
      <c r="AE165" s="161">
        <v>0</v>
      </c>
      <c r="AF165" s="41"/>
      <c r="AH165" s="38"/>
    </row>
    <row r="166" spans="1:34" s="64" customFormat="1" ht="24.75" customHeight="1" x14ac:dyDescent="0.25">
      <c r="A166" s="87" t="s">
        <v>102</v>
      </c>
      <c r="B166" s="144">
        <f>H166+J166+L166+N166+P166+R166+T166+V166+X166+Z166+AB166+AD166</f>
        <v>3186.2019999999993</v>
      </c>
      <c r="C166" s="144">
        <f>C172</f>
        <v>3186.2019999999993</v>
      </c>
      <c r="D166" s="144">
        <f>D172</f>
        <v>3034.6978199999999</v>
      </c>
      <c r="E166" s="144">
        <f t="shared" ref="E166:AC166" si="130">E172</f>
        <v>3034.6978199999999</v>
      </c>
      <c r="F166" s="135">
        <f>E166/C166</f>
        <v>0.95244991372172905</v>
      </c>
      <c r="G166" s="135">
        <f t="shared" si="128"/>
        <v>0.95244991372172905</v>
      </c>
      <c r="H166" s="144">
        <f>H172</f>
        <v>549.18630000000007</v>
      </c>
      <c r="I166" s="144">
        <f t="shared" si="130"/>
        <v>501.40995000000004</v>
      </c>
      <c r="J166" s="144">
        <f>J172</f>
        <v>252.65505999999999</v>
      </c>
      <c r="K166" s="144">
        <f t="shared" si="130"/>
        <v>270.34140000000002</v>
      </c>
      <c r="L166" s="144">
        <f>L172</f>
        <v>107.53406</v>
      </c>
      <c r="M166" s="144">
        <f t="shared" si="130"/>
        <v>108.55</v>
      </c>
      <c r="N166" s="144">
        <f>N172</f>
        <v>275.43006000000003</v>
      </c>
      <c r="O166" s="144">
        <f t="shared" si="130"/>
        <v>260.88</v>
      </c>
      <c r="P166" s="144">
        <f>P172</f>
        <v>160.66806</v>
      </c>
      <c r="Q166" s="144">
        <f t="shared" si="130"/>
        <v>131.81647000000001</v>
      </c>
      <c r="R166" s="144">
        <f>R172</f>
        <v>404.28805999999997</v>
      </c>
      <c r="S166" s="144">
        <f t="shared" si="130"/>
        <v>352.72</v>
      </c>
      <c r="T166" s="144">
        <f>T172</f>
        <v>306.48205999999999</v>
      </c>
      <c r="U166" s="144">
        <f t="shared" si="130"/>
        <v>316.20999999999998</v>
      </c>
      <c r="V166" s="144">
        <f>V172</f>
        <v>379.95206000000002</v>
      </c>
      <c r="W166" s="144">
        <f t="shared" si="130"/>
        <v>362</v>
      </c>
      <c r="X166" s="144">
        <f>X172</f>
        <v>192.69406000000001</v>
      </c>
      <c r="Y166" s="144">
        <f t="shared" si="130"/>
        <v>155.37</v>
      </c>
      <c r="Z166" s="144">
        <f>Z172</f>
        <v>178.84729999999999</v>
      </c>
      <c r="AA166" s="144">
        <f t="shared" si="130"/>
        <v>231.4</v>
      </c>
      <c r="AB166" s="144">
        <f>AB172</f>
        <v>114.81394</v>
      </c>
      <c r="AC166" s="144">
        <f t="shared" si="130"/>
        <v>126.19</v>
      </c>
      <c r="AD166" s="144">
        <f>AD172</f>
        <v>263.65098</v>
      </c>
      <c r="AE166" s="188"/>
      <c r="AF166" s="66"/>
      <c r="AG166" s="108"/>
      <c r="AH166" s="65"/>
    </row>
    <row r="167" spans="1:34" s="37" customFormat="1" ht="22.5" customHeight="1" x14ac:dyDescent="0.25">
      <c r="A167" s="84" t="s">
        <v>103</v>
      </c>
      <c r="B167" s="146">
        <f>H167+J167+L167+N167+P167+R167+T167+V167+X167+Z167+AB167+AD167</f>
        <v>0</v>
      </c>
      <c r="C167" s="146">
        <f t="shared" ref="C167:AF167" si="131">C180</f>
        <v>0</v>
      </c>
      <c r="D167" s="146">
        <f t="shared" si="131"/>
        <v>0</v>
      </c>
      <c r="E167" s="146">
        <f t="shared" si="131"/>
        <v>0</v>
      </c>
      <c r="F167" s="132" t="e">
        <f t="shared" ref="F167:F180" si="132">E167/B167</f>
        <v>#DIV/0!</v>
      </c>
      <c r="G167" s="132" t="e">
        <f t="shared" si="128"/>
        <v>#DIV/0!</v>
      </c>
      <c r="H167" s="146">
        <f t="shared" si="131"/>
        <v>0</v>
      </c>
      <c r="I167" s="146">
        <f t="shared" si="131"/>
        <v>0</v>
      </c>
      <c r="J167" s="146">
        <f t="shared" si="131"/>
        <v>0</v>
      </c>
      <c r="K167" s="146">
        <f t="shared" si="131"/>
        <v>0</v>
      </c>
      <c r="L167" s="146">
        <f t="shared" si="131"/>
        <v>0</v>
      </c>
      <c r="M167" s="146">
        <f t="shared" si="131"/>
        <v>0</v>
      </c>
      <c r="N167" s="146">
        <f t="shared" si="131"/>
        <v>0</v>
      </c>
      <c r="O167" s="146">
        <f t="shared" si="131"/>
        <v>0</v>
      </c>
      <c r="P167" s="146">
        <f t="shared" si="131"/>
        <v>0</v>
      </c>
      <c r="Q167" s="146">
        <f t="shared" si="131"/>
        <v>0</v>
      </c>
      <c r="R167" s="146">
        <f t="shared" si="131"/>
        <v>0</v>
      </c>
      <c r="S167" s="146">
        <f t="shared" si="131"/>
        <v>0</v>
      </c>
      <c r="T167" s="146">
        <f t="shared" si="131"/>
        <v>0</v>
      </c>
      <c r="U167" s="146">
        <f t="shared" si="131"/>
        <v>0</v>
      </c>
      <c r="V167" s="146">
        <f t="shared" si="131"/>
        <v>0</v>
      </c>
      <c r="W167" s="146">
        <f t="shared" si="131"/>
        <v>0</v>
      </c>
      <c r="X167" s="146">
        <f t="shared" si="131"/>
        <v>0</v>
      </c>
      <c r="Y167" s="146">
        <f t="shared" si="131"/>
        <v>0</v>
      </c>
      <c r="Z167" s="146">
        <f t="shared" si="131"/>
        <v>0</v>
      </c>
      <c r="AA167" s="146">
        <f t="shared" si="131"/>
        <v>0</v>
      </c>
      <c r="AB167" s="146">
        <f t="shared" si="131"/>
        <v>0</v>
      </c>
      <c r="AC167" s="146">
        <f t="shared" si="131"/>
        <v>0</v>
      </c>
      <c r="AD167" s="146">
        <f t="shared" si="131"/>
        <v>0</v>
      </c>
      <c r="AE167" s="146">
        <f t="shared" si="131"/>
        <v>0</v>
      </c>
      <c r="AF167" s="77">
        <f t="shared" si="131"/>
        <v>0</v>
      </c>
      <c r="AG167" s="108"/>
      <c r="AH167" s="38"/>
    </row>
    <row r="168" spans="1:34" s="37" customFormat="1" ht="33" x14ac:dyDescent="0.25">
      <c r="A168" s="218" t="s">
        <v>153</v>
      </c>
      <c r="B168" s="161">
        <v>0</v>
      </c>
      <c r="C168" s="162">
        <v>0</v>
      </c>
      <c r="D168" s="162">
        <v>0</v>
      </c>
      <c r="E168" s="162">
        <v>0</v>
      </c>
      <c r="F168" s="81" t="e">
        <f>E168/B168</f>
        <v>#DIV/0!</v>
      </c>
      <c r="G168" s="81" t="e">
        <f>E168/C168</f>
        <v>#DIV/0!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  <c r="O168" s="161">
        <v>0</v>
      </c>
      <c r="P168" s="161">
        <v>0</v>
      </c>
      <c r="Q168" s="161">
        <v>0</v>
      </c>
      <c r="R168" s="161">
        <v>0</v>
      </c>
      <c r="S168" s="161">
        <v>0</v>
      </c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</v>
      </c>
      <c r="AF168" s="78"/>
      <c r="AH168" s="38"/>
    </row>
    <row r="169" spans="1:34" s="37" customFormat="1" x14ac:dyDescent="0.25">
      <c r="A169" s="103" t="s">
        <v>154</v>
      </c>
      <c r="B169" s="161">
        <v>0</v>
      </c>
      <c r="C169" s="162">
        <v>0</v>
      </c>
      <c r="D169" s="162">
        <v>0</v>
      </c>
      <c r="E169" s="162">
        <v>0</v>
      </c>
      <c r="F169" s="81" t="e">
        <f>E169/B169</f>
        <v>#DIV/0!</v>
      </c>
      <c r="G169" s="81" t="e">
        <f>E169/C169</f>
        <v>#DIV/0!</v>
      </c>
      <c r="H169" s="161">
        <v>0</v>
      </c>
      <c r="I169" s="161">
        <v>0</v>
      </c>
      <c r="J169" s="161">
        <v>0</v>
      </c>
      <c r="K169" s="161">
        <v>0</v>
      </c>
      <c r="L169" s="161">
        <v>0</v>
      </c>
      <c r="M169" s="161">
        <v>0</v>
      </c>
      <c r="N169" s="161">
        <v>0</v>
      </c>
      <c r="O169" s="161">
        <v>0</v>
      </c>
      <c r="P169" s="161">
        <v>0</v>
      </c>
      <c r="Q169" s="161">
        <v>0</v>
      </c>
      <c r="R169" s="161">
        <v>0</v>
      </c>
      <c r="S169" s="161">
        <v>0</v>
      </c>
      <c r="T169" s="161">
        <v>0</v>
      </c>
      <c r="U169" s="161">
        <v>0</v>
      </c>
      <c r="V169" s="161">
        <v>0</v>
      </c>
      <c r="W169" s="161">
        <v>0</v>
      </c>
      <c r="X169" s="161">
        <v>0</v>
      </c>
      <c r="Y169" s="161">
        <v>0</v>
      </c>
      <c r="Z169" s="161">
        <v>0</v>
      </c>
      <c r="AA169" s="161">
        <v>0</v>
      </c>
      <c r="AB169" s="161">
        <v>0</v>
      </c>
      <c r="AC169" s="161">
        <v>0</v>
      </c>
      <c r="AD169" s="161">
        <v>0</v>
      </c>
      <c r="AE169" s="161">
        <v>0</v>
      </c>
      <c r="AF169" s="78"/>
      <c r="AH169" s="38"/>
    </row>
    <row r="170" spans="1:34" s="64" customFormat="1" ht="170.25" customHeight="1" x14ac:dyDescent="0.25">
      <c r="A170" s="194" t="s">
        <v>117</v>
      </c>
      <c r="B170" s="166">
        <f>B172</f>
        <v>3186.2019999999993</v>
      </c>
      <c r="C170" s="166">
        <f t="shared" ref="C170:AD170" si="133">C172</f>
        <v>3186.2019999999993</v>
      </c>
      <c r="D170" s="166">
        <f>D172</f>
        <v>3034.6978199999999</v>
      </c>
      <c r="E170" s="166">
        <f t="shared" si="133"/>
        <v>3034.6978199999999</v>
      </c>
      <c r="F170" s="128">
        <f t="shared" si="132"/>
        <v>0.95244991372172905</v>
      </c>
      <c r="G170" s="128">
        <f t="shared" si="128"/>
        <v>0.95244991372172905</v>
      </c>
      <c r="H170" s="166">
        <f>H172</f>
        <v>549.18630000000007</v>
      </c>
      <c r="I170" s="166">
        <f>I172</f>
        <v>501.40995000000004</v>
      </c>
      <c r="J170" s="166">
        <f>J172</f>
        <v>252.65505999999999</v>
      </c>
      <c r="K170" s="166">
        <f>K172</f>
        <v>270.34140000000002</v>
      </c>
      <c r="L170" s="166">
        <f>L172</f>
        <v>107.53406</v>
      </c>
      <c r="M170" s="166">
        <f t="shared" si="133"/>
        <v>108.55</v>
      </c>
      <c r="N170" s="166">
        <f t="shared" si="133"/>
        <v>275.43006000000003</v>
      </c>
      <c r="O170" s="166">
        <f t="shared" si="133"/>
        <v>260.88</v>
      </c>
      <c r="P170" s="166">
        <f t="shared" si="133"/>
        <v>160.66806</v>
      </c>
      <c r="Q170" s="166">
        <f t="shared" si="133"/>
        <v>131.81647000000001</v>
      </c>
      <c r="R170" s="166">
        <f t="shared" si="133"/>
        <v>404.28805999999997</v>
      </c>
      <c r="S170" s="166">
        <f t="shared" si="133"/>
        <v>352.72</v>
      </c>
      <c r="T170" s="166">
        <f t="shared" si="133"/>
        <v>306.48205999999999</v>
      </c>
      <c r="U170" s="166">
        <f t="shared" si="133"/>
        <v>316.20999999999998</v>
      </c>
      <c r="V170" s="166">
        <f t="shared" si="133"/>
        <v>379.95206000000002</v>
      </c>
      <c r="W170" s="166">
        <f t="shared" si="133"/>
        <v>362</v>
      </c>
      <c r="X170" s="166">
        <f t="shared" si="133"/>
        <v>192.69406000000001</v>
      </c>
      <c r="Y170" s="166">
        <f t="shared" si="133"/>
        <v>155.37</v>
      </c>
      <c r="Z170" s="166">
        <f t="shared" si="133"/>
        <v>178.84729999999999</v>
      </c>
      <c r="AA170" s="166">
        <f t="shared" si="133"/>
        <v>231.4</v>
      </c>
      <c r="AB170" s="166">
        <f t="shared" si="133"/>
        <v>114.81394</v>
      </c>
      <c r="AC170" s="166">
        <f t="shared" si="133"/>
        <v>126.19</v>
      </c>
      <c r="AD170" s="166">
        <f t="shared" si="133"/>
        <v>263.65098</v>
      </c>
      <c r="AE170" s="189"/>
      <c r="AF170" s="193" t="s">
        <v>172</v>
      </c>
      <c r="AG170" s="108"/>
      <c r="AH170" s="65"/>
    </row>
    <row r="171" spans="1:34" s="37" customFormat="1" x14ac:dyDescent="0.25">
      <c r="A171" s="103" t="s">
        <v>152</v>
      </c>
      <c r="B171" s="161">
        <v>0</v>
      </c>
      <c r="C171" s="161">
        <v>0</v>
      </c>
      <c r="D171" s="161">
        <v>0</v>
      </c>
      <c r="E171" s="161">
        <v>0</v>
      </c>
      <c r="F171" s="81" t="e">
        <f>E171/B171</f>
        <v>#DIV/0!</v>
      </c>
      <c r="G171" s="81" t="e">
        <f>E171/C171</f>
        <v>#DIV/0!</v>
      </c>
      <c r="H171" s="161">
        <v>0</v>
      </c>
      <c r="I171" s="161">
        <v>0</v>
      </c>
      <c r="J171" s="161">
        <v>0</v>
      </c>
      <c r="K171" s="161">
        <v>0</v>
      </c>
      <c r="L171" s="161">
        <v>0</v>
      </c>
      <c r="M171" s="161">
        <v>0</v>
      </c>
      <c r="N171" s="161">
        <v>0</v>
      </c>
      <c r="O171" s="161">
        <v>0</v>
      </c>
      <c r="P171" s="161">
        <v>0</v>
      </c>
      <c r="Q171" s="161">
        <v>0</v>
      </c>
      <c r="R171" s="161">
        <v>0</v>
      </c>
      <c r="S171" s="161">
        <v>0</v>
      </c>
      <c r="T171" s="161">
        <v>0</v>
      </c>
      <c r="U171" s="161">
        <v>0</v>
      </c>
      <c r="V171" s="161">
        <v>0</v>
      </c>
      <c r="W171" s="161">
        <v>0</v>
      </c>
      <c r="X171" s="161">
        <v>0</v>
      </c>
      <c r="Y171" s="161">
        <v>0</v>
      </c>
      <c r="Z171" s="161">
        <v>0</v>
      </c>
      <c r="AA171" s="161">
        <v>0</v>
      </c>
      <c r="AB171" s="161">
        <v>0</v>
      </c>
      <c r="AC171" s="161">
        <v>0</v>
      </c>
      <c r="AD171" s="161">
        <v>0</v>
      </c>
      <c r="AE171" s="161">
        <v>0</v>
      </c>
      <c r="AF171" s="41"/>
      <c r="AH171" s="38"/>
    </row>
    <row r="172" spans="1:34" s="64" customFormat="1" ht="24.75" customHeight="1" x14ac:dyDescent="0.25">
      <c r="A172" s="87" t="s">
        <v>102</v>
      </c>
      <c r="B172" s="144">
        <f>H172+J172+L172+N172+P172+R172+T172+V172+X172+Z172+AB172+AD172</f>
        <v>3186.2019999999993</v>
      </c>
      <c r="C172" s="144">
        <f>H172+J172+L172+N172+P172+R172+T172+V172+X172+Z172+AB172+AD172</f>
        <v>3186.2019999999993</v>
      </c>
      <c r="D172" s="145">
        <f>E172</f>
        <v>3034.6978199999999</v>
      </c>
      <c r="E172" s="145">
        <f>I172+K172+M172+O172+Q172+S172+U172+W172+Y172+AA172+AC172+AE172</f>
        <v>3034.6978199999999</v>
      </c>
      <c r="F172" s="75">
        <f t="shared" si="132"/>
        <v>0.95244991372172905</v>
      </c>
      <c r="G172" s="75">
        <f t="shared" si="128"/>
        <v>0.95244991372172905</v>
      </c>
      <c r="H172" s="145">
        <f>549186.3/1000</f>
        <v>549.18630000000007</v>
      </c>
      <c r="I172" s="145">
        <f>501409.95/1000</f>
        <v>501.40995000000004</v>
      </c>
      <c r="J172" s="145">
        <f>252655.06/1000</f>
        <v>252.65505999999999</v>
      </c>
      <c r="K172" s="145">
        <f>270341.4/1000</f>
        <v>270.34140000000002</v>
      </c>
      <c r="L172" s="145">
        <f>107534.06/1000</f>
        <v>107.53406</v>
      </c>
      <c r="M172" s="145">
        <v>108.55</v>
      </c>
      <c r="N172" s="145">
        <f>275430.06/1000</f>
        <v>275.43006000000003</v>
      </c>
      <c r="O172" s="145">
        <v>260.88</v>
      </c>
      <c r="P172" s="145">
        <f>160668.06/1000</f>
        <v>160.66806</v>
      </c>
      <c r="Q172" s="145">
        <f>131816.47/1000</f>
        <v>131.81647000000001</v>
      </c>
      <c r="R172" s="145">
        <f>404288.06/1000</f>
        <v>404.28805999999997</v>
      </c>
      <c r="S172" s="145">
        <v>352.72</v>
      </c>
      <c r="T172" s="145">
        <f>306482.06/1000</f>
        <v>306.48205999999999</v>
      </c>
      <c r="U172" s="145">
        <v>316.20999999999998</v>
      </c>
      <c r="V172" s="145">
        <f>379952.06/1000</f>
        <v>379.95206000000002</v>
      </c>
      <c r="W172" s="145">
        <v>362</v>
      </c>
      <c r="X172" s="145">
        <f>192694.06/1000</f>
        <v>192.69406000000001</v>
      </c>
      <c r="Y172" s="145">
        <v>155.37</v>
      </c>
      <c r="Z172" s="145">
        <f>178847.3/1000</f>
        <v>178.84729999999999</v>
      </c>
      <c r="AA172" s="145">
        <f>231.4</f>
        <v>231.4</v>
      </c>
      <c r="AB172" s="145">
        <f>114813.94/1000</f>
        <v>114.81394</v>
      </c>
      <c r="AC172" s="145">
        <v>126.19</v>
      </c>
      <c r="AD172" s="145">
        <f>263650.98/1000</f>
        <v>263.65098</v>
      </c>
      <c r="AE172" s="188">
        <f>217.81</f>
        <v>217.81</v>
      </c>
      <c r="AF172" s="173"/>
      <c r="AG172" s="108"/>
      <c r="AH172" s="65"/>
    </row>
    <row r="173" spans="1:34" s="37" customFormat="1" ht="22.5" customHeight="1" x14ac:dyDescent="0.25">
      <c r="A173" s="84" t="s">
        <v>103</v>
      </c>
      <c r="B173" s="146">
        <f>H173+J173+L173+N173+P173+R173+T173+V173+X173+Z173+AB173+AD173</f>
        <v>0</v>
      </c>
      <c r="C173" s="146">
        <f t="shared" ref="C173:AF173" si="134">C210</f>
        <v>0</v>
      </c>
      <c r="D173" s="146">
        <f t="shared" si="134"/>
        <v>0</v>
      </c>
      <c r="E173" s="146">
        <f t="shared" si="134"/>
        <v>0</v>
      </c>
      <c r="F173" s="132" t="e">
        <f t="shared" ref="F173" si="135">E173/B173</f>
        <v>#DIV/0!</v>
      </c>
      <c r="G173" s="132" t="e">
        <f t="shared" ref="G173" si="136">E173/C173</f>
        <v>#DIV/0!</v>
      </c>
      <c r="H173" s="146">
        <f t="shared" si="134"/>
        <v>0</v>
      </c>
      <c r="I173" s="146">
        <f t="shared" si="134"/>
        <v>0</v>
      </c>
      <c r="J173" s="146">
        <f t="shared" si="134"/>
        <v>0</v>
      </c>
      <c r="K173" s="146">
        <f t="shared" si="134"/>
        <v>0</v>
      </c>
      <c r="L173" s="146">
        <f t="shared" si="134"/>
        <v>0</v>
      </c>
      <c r="M173" s="146">
        <f t="shared" si="134"/>
        <v>0</v>
      </c>
      <c r="N173" s="146">
        <f t="shared" si="134"/>
        <v>0</v>
      </c>
      <c r="O173" s="146">
        <f t="shared" si="134"/>
        <v>0</v>
      </c>
      <c r="P173" s="146">
        <f t="shared" si="134"/>
        <v>0</v>
      </c>
      <c r="Q173" s="146">
        <f t="shared" si="134"/>
        <v>0</v>
      </c>
      <c r="R173" s="146">
        <f t="shared" si="134"/>
        <v>0</v>
      </c>
      <c r="S173" s="146">
        <f t="shared" si="134"/>
        <v>0</v>
      </c>
      <c r="T173" s="146">
        <f t="shared" si="134"/>
        <v>0</v>
      </c>
      <c r="U173" s="146">
        <f t="shared" si="134"/>
        <v>0</v>
      </c>
      <c r="V173" s="146">
        <f t="shared" si="134"/>
        <v>0</v>
      </c>
      <c r="W173" s="146">
        <f t="shared" si="134"/>
        <v>0</v>
      </c>
      <c r="X173" s="146">
        <f t="shared" si="134"/>
        <v>0</v>
      </c>
      <c r="Y173" s="146">
        <f t="shared" si="134"/>
        <v>0</v>
      </c>
      <c r="Z173" s="146">
        <f t="shared" si="134"/>
        <v>0</v>
      </c>
      <c r="AA173" s="146">
        <f t="shared" si="134"/>
        <v>0</v>
      </c>
      <c r="AB173" s="146">
        <f t="shared" si="134"/>
        <v>0</v>
      </c>
      <c r="AC173" s="146">
        <f t="shared" si="134"/>
        <v>0</v>
      </c>
      <c r="AD173" s="146">
        <f t="shared" si="134"/>
        <v>0</v>
      </c>
      <c r="AE173" s="146">
        <f t="shared" si="134"/>
        <v>0</v>
      </c>
      <c r="AF173" s="77">
        <f t="shared" si="134"/>
        <v>0</v>
      </c>
      <c r="AG173" s="108"/>
      <c r="AH173" s="38"/>
    </row>
    <row r="174" spans="1:34" s="37" customFormat="1" ht="33" x14ac:dyDescent="0.25">
      <c r="A174" s="218" t="s">
        <v>153</v>
      </c>
      <c r="B174" s="161">
        <v>0</v>
      </c>
      <c r="C174" s="162">
        <v>0</v>
      </c>
      <c r="D174" s="162">
        <v>0</v>
      </c>
      <c r="E174" s="162">
        <v>0</v>
      </c>
      <c r="F174" s="81" t="e">
        <f>E174/B174</f>
        <v>#DIV/0!</v>
      </c>
      <c r="G174" s="81" t="e">
        <f>E174/C174</f>
        <v>#DIV/0!</v>
      </c>
      <c r="H174" s="161">
        <v>0</v>
      </c>
      <c r="I174" s="161">
        <v>0</v>
      </c>
      <c r="J174" s="161">
        <v>0</v>
      </c>
      <c r="K174" s="161">
        <v>0</v>
      </c>
      <c r="L174" s="161">
        <v>0</v>
      </c>
      <c r="M174" s="161">
        <v>0</v>
      </c>
      <c r="N174" s="161">
        <v>0</v>
      </c>
      <c r="O174" s="161">
        <v>0</v>
      </c>
      <c r="P174" s="161">
        <v>0</v>
      </c>
      <c r="Q174" s="161">
        <v>0</v>
      </c>
      <c r="R174" s="161">
        <v>0</v>
      </c>
      <c r="S174" s="161">
        <v>0</v>
      </c>
      <c r="T174" s="161">
        <v>0</v>
      </c>
      <c r="U174" s="161">
        <v>0</v>
      </c>
      <c r="V174" s="161">
        <v>0</v>
      </c>
      <c r="W174" s="161">
        <v>0</v>
      </c>
      <c r="X174" s="161">
        <v>0</v>
      </c>
      <c r="Y174" s="161">
        <v>0</v>
      </c>
      <c r="Z174" s="161">
        <v>0</v>
      </c>
      <c r="AA174" s="161">
        <v>0</v>
      </c>
      <c r="AB174" s="161">
        <v>0</v>
      </c>
      <c r="AC174" s="161">
        <v>0</v>
      </c>
      <c r="AD174" s="161">
        <v>0</v>
      </c>
      <c r="AE174" s="161">
        <v>0</v>
      </c>
      <c r="AF174" s="78"/>
      <c r="AH174" s="38"/>
    </row>
    <row r="175" spans="1:34" s="37" customFormat="1" x14ac:dyDescent="0.25">
      <c r="A175" s="103" t="s">
        <v>154</v>
      </c>
      <c r="B175" s="161">
        <v>0</v>
      </c>
      <c r="C175" s="162">
        <v>0</v>
      </c>
      <c r="D175" s="162">
        <v>0</v>
      </c>
      <c r="E175" s="162">
        <v>0</v>
      </c>
      <c r="F175" s="81" t="e">
        <f>E175/B175</f>
        <v>#DIV/0!</v>
      </c>
      <c r="G175" s="81" t="e">
        <f>E175/C175</f>
        <v>#DIV/0!</v>
      </c>
      <c r="H175" s="161">
        <v>0</v>
      </c>
      <c r="I175" s="161">
        <v>0</v>
      </c>
      <c r="J175" s="161">
        <v>0</v>
      </c>
      <c r="K175" s="161">
        <v>0</v>
      </c>
      <c r="L175" s="161">
        <v>0</v>
      </c>
      <c r="M175" s="161">
        <v>0</v>
      </c>
      <c r="N175" s="161">
        <v>0</v>
      </c>
      <c r="O175" s="161">
        <v>0</v>
      </c>
      <c r="P175" s="161">
        <v>0</v>
      </c>
      <c r="Q175" s="161">
        <v>0</v>
      </c>
      <c r="R175" s="161">
        <v>0</v>
      </c>
      <c r="S175" s="161">
        <v>0</v>
      </c>
      <c r="T175" s="161">
        <v>0</v>
      </c>
      <c r="U175" s="161">
        <v>0</v>
      </c>
      <c r="V175" s="161">
        <v>0</v>
      </c>
      <c r="W175" s="161">
        <v>0</v>
      </c>
      <c r="X175" s="161">
        <v>0</v>
      </c>
      <c r="Y175" s="161">
        <v>0</v>
      </c>
      <c r="Z175" s="161">
        <v>0</v>
      </c>
      <c r="AA175" s="161">
        <v>0</v>
      </c>
      <c r="AB175" s="161">
        <v>0</v>
      </c>
      <c r="AC175" s="161">
        <v>0</v>
      </c>
      <c r="AD175" s="161">
        <v>0</v>
      </c>
      <c r="AE175" s="161">
        <v>0</v>
      </c>
      <c r="AF175" s="78"/>
      <c r="AH175" s="38"/>
    </row>
    <row r="176" spans="1:34" s="37" customFormat="1" ht="112.5" customHeight="1" x14ac:dyDescent="0.25">
      <c r="A176" s="83" t="s">
        <v>118</v>
      </c>
      <c r="B176" s="166">
        <f>B180</f>
        <v>0</v>
      </c>
      <c r="C176" s="166">
        <f t="shared" ref="C176:AD176" si="137">C180</f>
        <v>0</v>
      </c>
      <c r="D176" s="166"/>
      <c r="E176" s="166">
        <f t="shared" si="137"/>
        <v>0</v>
      </c>
      <c r="F176" s="128" t="e">
        <f t="shared" si="132"/>
        <v>#DIV/0!</v>
      </c>
      <c r="G176" s="128" t="e">
        <f t="shared" si="128"/>
        <v>#DIV/0!</v>
      </c>
      <c r="H176" s="166">
        <f>H180</f>
        <v>0</v>
      </c>
      <c r="I176" s="166">
        <f>I180</f>
        <v>0</v>
      </c>
      <c r="J176" s="166">
        <f t="shared" si="137"/>
        <v>0</v>
      </c>
      <c r="K176" s="166">
        <f t="shared" si="137"/>
        <v>0</v>
      </c>
      <c r="L176" s="166">
        <f t="shared" si="137"/>
        <v>0</v>
      </c>
      <c r="M176" s="166">
        <f t="shared" si="137"/>
        <v>0</v>
      </c>
      <c r="N176" s="166">
        <f t="shared" si="137"/>
        <v>0</v>
      </c>
      <c r="O176" s="166">
        <f t="shared" si="137"/>
        <v>0</v>
      </c>
      <c r="P176" s="166">
        <f t="shared" si="137"/>
        <v>0</v>
      </c>
      <c r="Q176" s="166">
        <f t="shared" si="137"/>
        <v>0</v>
      </c>
      <c r="R176" s="166">
        <f t="shared" si="137"/>
        <v>0</v>
      </c>
      <c r="S176" s="166">
        <f t="shared" si="137"/>
        <v>0</v>
      </c>
      <c r="T176" s="166">
        <f t="shared" si="137"/>
        <v>0</v>
      </c>
      <c r="U176" s="166">
        <f t="shared" si="137"/>
        <v>0</v>
      </c>
      <c r="V176" s="166">
        <f t="shared" si="137"/>
        <v>0</v>
      </c>
      <c r="W176" s="166">
        <f t="shared" si="137"/>
        <v>0</v>
      </c>
      <c r="X176" s="166">
        <f t="shared" si="137"/>
        <v>0</v>
      </c>
      <c r="Y176" s="166">
        <f t="shared" si="137"/>
        <v>0</v>
      </c>
      <c r="Z176" s="166">
        <f t="shared" si="137"/>
        <v>0</v>
      </c>
      <c r="AA176" s="166">
        <f t="shared" si="137"/>
        <v>0</v>
      </c>
      <c r="AB176" s="166">
        <f t="shared" si="137"/>
        <v>0</v>
      </c>
      <c r="AC176" s="166">
        <f t="shared" si="137"/>
        <v>0</v>
      </c>
      <c r="AD176" s="166">
        <f t="shared" si="137"/>
        <v>0</v>
      </c>
      <c r="AE176" s="166"/>
      <c r="AF176" s="66"/>
      <c r="AG176" s="108"/>
      <c r="AH176" s="38"/>
    </row>
    <row r="177" spans="1:34" s="37" customFormat="1" x14ac:dyDescent="0.25">
      <c r="A177" s="69" t="s">
        <v>25</v>
      </c>
      <c r="B177" s="151">
        <f>B180</f>
        <v>0</v>
      </c>
      <c r="C177" s="151">
        <f t="shared" ref="C177:AE177" si="138">C180</f>
        <v>0</v>
      </c>
      <c r="D177" s="151">
        <f t="shared" si="138"/>
        <v>0</v>
      </c>
      <c r="E177" s="151">
        <f t="shared" si="138"/>
        <v>0</v>
      </c>
      <c r="F177" s="70" t="e">
        <f t="shared" si="132"/>
        <v>#DIV/0!</v>
      </c>
      <c r="G177" s="136" t="e">
        <f t="shared" si="128"/>
        <v>#DIV/0!</v>
      </c>
      <c r="H177" s="151">
        <f>H180</f>
        <v>0</v>
      </c>
      <c r="I177" s="151">
        <f t="shared" si="138"/>
        <v>0</v>
      </c>
      <c r="J177" s="151">
        <f>J180</f>
        <v>0</v>
      </c>
      <c r="K177" s="151">
        <f t="shared" si="138"/>
        <v>0</v>
      </c>
      <c r="L177" s="151">
        <f t="shared" si="138"/>
        <v>0</v>
      </c>
      <c r="M177" s="151">
        <f t="shared" si="138"/>
        <v>0</v>
      </c>
      <c r="N177" s="151">
        <f t="shared" si="138"/>
        <v>0</v>
      </c>
      <c r="O177" s="151">
        <f t="shared" si="138"/>
        <v>0</v>
      </c>
      <c r="P177" s="151">
        <f t="shared" si="138"/>
        <v>0</v>
      </c>
      <c r="Q177" s="151">
        <f t="shared" si="138"/>
        <v>0</v>
      </c>
      <c r="R177" s="151">
        <f t="shared" si="138"/>
        <v>0</v>
      </c>
      <c r="S177" s="151">
        <f t="shared" si="138"/>
        <v>0</v>
      </c>
      <c r="T177" s="151">
        <f t="shared" si="138"/>
        <v>0</v>
      </c>
      <c r="U177" s="151">
        <f t="shared" si="138"/>
        <v>0</v>
      </c>
      <c r="V177" s="151">
        <f t="shared" si="138"/>
        <v>0</v>
      </c>
      <c r="W177" s="151">
        <f t="shared" si="138"/>
        <v>0</v>
      </c>
      <c r="X177" s="151">
        <f t="shared" si="138"/>
        <v>0</v>
      </c>
      <c r="Y177" s="151">
        <f t="shared" si="138"/>
        <v>0</v>
      </c>
      <c r="Z177" s="151">
        <f t="shared" si="138"/>
        <v>0</v>
      </c>
      <c r="AA177" s="151">
        <f t="shared" si="138"/>
        <v>0</v>
      </c>
      <c r="AB177" s="151">
        <f t="shared" si="138"/>
        <v>0</v>
      </c>
      <c r="AC177" s="151">
        <f t="shared" si="138"/>
        <v>0</v>
      </c>
      <c r="AD177" s="151">
        <f t="shared" si="138"/>
        <v>0</v>
      </c>
      <c r="AE177" s="184">
        <f t="shared" si="138"/>
        <v>0</v>
      </c>
      <c r="AF177" s="41"/>
      <c r="AG177" s="108"/>
      <c r="AH177" s="38"/>
    </row>
    <row r="178" spans="1:34" s="37" customFormat="1" x14ac:dyDescent="0.25">
      <c r="A178" s="103" t="s">
        <v>152</v>
      </c>
      <c r="B178" s="161">
        <v>0</v>
      </c>
      <c r="C178" s="161">
        <v>0</v>
      </c>
      <c r="D178" s="161">
        <v>0</v>
      </c>
      <c r="E178" s="161">
        <v>0</v>
      </c>
      <c r="F178" s="81" t="e">
        <f>E178/B178</f>
        <v>#DIV/0!</v>
      </c>
      <c r="G178" s="81" t="e">
        <f>E178/C178</f>
        <v>#DIV/0!</v>
      </c>
      <c r="H178" s="161">
        <v>0</v>
      </c>
      <c r="I178" s="161">
        <v>0</v>
      </c>
      <c r="J178" s="161">
        <v>0</v>
      </c>
      <c r="K178" s="161">
        <v>0</v>
      </c>
      <c r="L178" s="161">
        <v>0</v>
      </c>
      <c r="M178" s="161">
        <v>0</v>
      </c>
      <c r="N178" s="161">
        <v>0</v>
      </c>
      <c r="O178" s="161">
        <v>0</v>
      </c>
      <c r="P178" s="161">
        <v>0</v>
      </c>
      <c r="Q178" s="161">
        <v>0</v>
      </c>
      <c r="R178" s="161">
        <v>0</v>
      </c>
      <c r="S178" s="161">
        <v>0</v>
      </c>
      <c r="T178" s="161">
        <v>0</v>
      </c>
      <c r="U178" s="161">
        <v>0</v>
      </c>
      <c r="V178" s="161">
        <v>0</v>
      </c>
      <c r="W178" s="161">
        <v>0</v>
      </c>
      <c r="X178" s="161">
        <v>0</v>
      </c>
      <c r="Y178" s="161">
        <v>0</v>
      </c>
      <c r="Z178" s="161">
        <v>0</v>
      </c>
      <c r="AA178" s="161">
        <v>0</v>
      </c>
      <c r="AB178" s="161">
        <v>0</v>
      </c>
      <c r="AC178" s="161">
        <v>0</v>
      </c>
      <c r="AD178" s="161">
        <v>0</v>
      </c>
      <c r="AE178" s="161">
        <v>0</v>
      </c>
      <c r="AF178" s="41"/>
      <c r="AH178" s="38"/>
    </row>
    <row r="179" spans="1:34" s="64" customFormat="1" ht="24.75" customHeight="1" x14ac:dyDescent="0.25">
      <c r="A179" s="87" t="s">
        <v>102</v>
      </c>
      <c r="B179" s="144">
        <f>H179+J179+L179+N179+P179+R179+T179+V179+X179+Z179+AB179+AD179</f>
        <v>0</v>
      </c>
      <c r="C179" s="144">
        <f>H179+J179+L179+N179+P179+R179</f>
        <v>0</v>
      </c>
      <c r="D179" s="145"/>
      <c r="E179" s="145">
        <f>I179+K179+M179+O179+Q179+S179+U179+W179+Y179+AA179+AC179+AE179</f>
        <v>0</v>
      </c>
      <c r="F179" s="75" t="e">
        <f t="shared" ref="F179" si="139">E179/B179</f>
        <v>#DIV/0!</v>
      </c>
      <c r="G179" s="75" t="e">
        <f t="shared" ref="G179" si="140">E179/C179</f>
        <v>#DIV/0!</v>
      </c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73"/>
      <c r="T179" s="145"/>
      <c r="U179" s="173"/>
      <c r="V179" s="145"/>
      <c r="W179" s="173"/>
      <c r="X179" s="145"/>
      <c r="Y179" s="173"/>
      <c r="Z179" s="145"/>
      <c r="AA179" s="173"/>
      <c r="AB179" s="145"/>
      <c r="AC179" s="173"/>
      <c r="AD179" s="145"/>
      <c r="AE179" s="188"/>
      <c r="AF179" s="173"/>
      <c r="AG179" s="108"/>
      <c r="AH179" s="65"/>
    </row>
    <row r="180" spans="1:34" s="37" customFormat="1" ht="22.5" customHeight="1" x14ac:dyDescent="0.25">
      <c r="A180" s="84" t="s">
        <v>103</v>
      </c>
      <c r="B180" s="146">
        <f>H180+J180+L180+N180+P180+R180+T180+V180+X180+Z180+AB180+AD180</f>
        <v>0</v>
      </c>
      <c r="C180" s="147">
        <f>H180+J180+L180+N180+P180+R180+T180+V180+X180+Z180+AB180</f>
        <v>0</v>
      </c>
      <c r="D180" s="147"/>
      <c r="E180" s="147">
        <f>I180+K180+M180+O180+Q180+S180+U180+W180+Y180+AA180+AC180+AE180</f>
        <v>0</v>
      </c>
      <c r="F180" s="79" t="e">
        <f t="shared" si="132"/>
        <v>#DIV/0!</v>
      </c>
      <c r="G180" s="79" t="e">
        <f t="shared" si="128"/>
        <v>#DIV/0!</v>
      </c>
      <c r="H180" s="176">
        <f t="shared" ref="H180:AD180" si="141">H186+H192</f>
        <v>0</v>
      </c>
      <c r="I180" s="176">
        <f t="shared" si="141"/>
        <v>0</v>
      </c>
      <c r="J180" s="176">
        <f t="shared" si="141"/>
        <v>0</v>
      </c>
      <c r="K180" s="176">
        <f t="shared" si="141"/>
        <v>0</v>
      </c>
      <c r="L180" s="176">
        <f t="shared" si="141"/>
        <v>0</v>
      </c>
      <c r="M180" s="176">
        <f t="shared" si="141"/>
        <v>0</v>
      </c>
      <c r="N180" s="176">
        <f t="shared" si="141"/>
        <v>0</v>
      </c>
      <c r="O180" s="176">
        <f t="shared" si="141"/>
        <v>0</v>
      </c>
      <c r="P180" s="176">
        <f t="shared" si="141"/>
        <v>0</v>
      </c>
      <c r="Q180" s="176">
        <f t="shared" si="141"/>
        <v>0</v>
      </c>
      <c r="R180" s="176">
        <f t="shared" si="141"/>
        <v>0</v>
      </c>
      <c r="S180" s="176">
        <f t="shared" si="141"/>
        <v>0</v>
      </c>
      <c r="T180" s="176">
        <f t="shared" si="141"/>
        <v>0</v>
      </c>
      <c r="U180" s="176">
        <f t="shared" si="141"/>
        <v>0</v>
      </c>
      <c r="V180" s="176">
        <f t="shared" si="141"/>
        <v>0</v>
      </c>
      <c r="W180" s="176">
        <f t="shared" si="141"/>
        <v>0</v>
      </c>
      <c r="X180" s="176">
        <f t="shared" si="141"/>
        <v>0</v>
      </c>
      <c r="Y180" s="176">
        <f t="shared" si="141"/>
        <v>0</v>
      </c>
      <c r="Z180" s="176">
        <f t="shared" si="141"/>
        <v>0</v>
      </c>
      <c r="AA180" s="176">
        <f t="shared" si="141"/>
        <v>0</v>
      </c>
      <c r="AB180" s="176">
        <f t="shared" si="141"/>
        <v>0</v>
      </c>
      <c r="AC180" s="176">
        <f t="shared" si="141"/>
        <v>0</v>
      </c>
      <c r="AD180" s="176">
        <f t="shared" si="141"/>
        <v>0</v>
      </c>
      <c r="AE180" s="176"/>
      <c r="AF180" s="82"/>
      <c r="AG180" s="108"/>
      <c r="AH180" s="38"/>
    </row>
    <row r="181" spans="1:34" s="37" customFormat="1" ht="33" x14ac:dyDescent="0.25">
      <c r="A181" s="218" t="s">
        <v>153</v>
      </c>
      <c r="B181" s="161">
        <v>0</v>
      </c>
      <c r="C181" s="162">
        <v>0</v>
      </c>
      <c r="D181" s="162">
        <v>0</v>
      </c>
      <c r="E181" s="162">
        <v>0</v>
      </c>
      <c r="F181" s="81" t="e">
        <f>E181/B181</f>
        <v>#DIV/0!</v>
      </c>
      <c r="G181" s="81" t="e">
        <f>E181/C181</f>
        <v>#DIV/0!</v>
      </c>
      <c r="H181" s="161">
        <v>0</v>
      </c>
      <c r="I181" s="161">
        <v>0</v>
      </c>
      <c r="J181" s="161">
        <v>0</v>
      </c>
      <c r="K181" s="161">
        <v>0</v>
      </c>
      <c r="L181" s="161">
        <v>0</v>
      </c>
      <c r="M181" s="161">
        <v>0</v>
      </c>
      <c r="N181" s="161">
        <v>0</v>
      </c>
      <c r="O181" s="161">
        <v>0</v>
      </c>
      <c r="P181" s="161">
        <v>0</v>
      </c>
      <c r="Q181" s="161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61">
        <v>0</v>
      </c>
      <c r="Y181" s="161">
        <v>0</v>
      </c>
      <c r="Z181" s="161">
        <v>0</v>
      </c>
      <c r="AA181" s="161">
        <v>0</v>
      </c>
      <c r="AB181" s="161">
        <v>0</v>
      </c>
      <c r="AC181" s="161">
        <v>0</v>
      </c>
      <c r="AD181" s="161">
        <v>0</v>
      </c>
      <c r="AE181" s="161">
        <v>0</v>
      </c>
      <c r="AF181" s="78"/>
      <c r="AH181" s="38"/>
    </row>
    <row r="182" spans="1:34" s="37" customFormat="1" x14ac:dyDescent="0.25">
      <c r="A182" s="103" t="s">
        <v>154</v>
      </c>
      <c r="B182" s="161">
        <v>0</v>
      </c>
      <c r="C182" s="162">
        <v>0</v>
      </c>
      <c r="D182" s="162">
        <v>0</v>
      </c>
      <c r="E182" s="162">
        <v>0</v>
      </c>
      <c r="F182" s="81" t="e">
        <f>E182/B182</f>
        <v>#DIV/0!</v>
      </c>
      <c r="G182" s="81" t="e">
        <f>E182/C182</f>
        <v>#DIV/0!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  <c r="O182" s="161">
        <v>0</v>
      </c>
      <c r="P182" s="161">
        <v>0</v>
      </c>
      <c r="Q182" s="161">
        <v>0</v>
      </c>
      <c r="R182" s="161">
        <v>0</v>
      </c>
      <c r="S182" s="161">
        <v>0</v>
      </c>
      <c r="T182" s="161">
        <v>0</v>
      </c>
      <c r="U182" s="161">
        <v>0</v>
      </c>
      <c r="V182" s="161">
        <v>0</v>
      </c>
      <c r="W182" s="161">
        <v>0</v>
      </c>
      <c r="X182" s="161">
        <v>0</v>
      </c>
      <c r="Y182" s="161">
        <v>0</v>
      </c>
      <c r="Z182" s="161">
        <v>0</v>
      </c>
      <c r="AA182" s="161">
        <v>0</v>
      </c>
      <c r="AB182" s="161">
        <v>0</v>
      </c>
      <c r="AC182" s="161">
        <v>0</v>
      </c>
      <c r="AD182" s="161">
        <v>0</v>
      </c>
      <c r="AE182" s="161">
        <v>0</v>
      </c>
      <c r="AF182" s="78"/>
      <c r="AH182" s="38"/>
    </row>
    <row r="183" spans="1:34" s="37" customFormat="1" ht="73.5" customHeight="1" x14ac:dyDescent="0.25">
      <c r="A183" s="140" t="s">
        <v>110</v>
      </c>
      <c r="B183" s="161"/>
      <c r="C183" s="167"/>
      <c r="D183" s="167"/>
      <c r="E183" s="167"/>
      <c r="F183" s="80"/>
      <c r="G183" s="80"/>
      <c r="H183" s="167"/>
      <c r="I183" s="167"/>
      <c r="J183" s="167"/>
      <c r="K183" s="167"/>
      <c r="L183" s="167"/>
      <c r="M183" s="192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90"/>
      <c r="AF183" s="191" t="s">
        <v>173</v>
      </c>
      <c r="AG183" s="108"/>
      <c r="AH183" s="38"/>
    </row>
    <row r="184" spans="1:34" s="37" customFormat="1" x14ac:dyDescent="0.25">
      <c r="A184" s="103" t="s">
        <v>152</v>
      </c>
      <c r="B184" s="161">
        <v>0</v>
      </c>
      <c r="C184" s="161">
        <v>0</v>
      </c>
      <c r="D184" s="161">
        <v>0</v>
      </c>
      <c r="E184" s="161">
        <v>0</v>
      </c>
      <c r="F184" s="81" t="e">
        <f>E184/B184</f>
        <v>#DIV/0!</v>
      </c>
      <c r="G184" s="81" t="e">
        <f>E184/C184</f>
        <v>#DIV/0!</v>
      </c>
      <c r="H184" s="161">
        <v>0</v>
      </c>
      <c r="I184" s="161">
        <v>0</v>
      </c>
      <c r="J184" s="161">
        <v>0</v>
      </c>
      <c r="K184" s="161">
        <v>0</v>
      </c>
      <c r="L184" s="161">
        <v>0</v>
      </c>
      <c r="M184" s="161">
        <v>0</v>
      </c>
      <c r="N184" s="161">
        <v>0</v>
      </c>
      <c r="O184" s="161">
        <v>0</v>
      </c>
      <c r="P184" s="161">
        <v>0</v>
      </c>
      <c r="Q184" s="161">
        <v>0</v>
      </c>
      <c r="R184" s="161">
        <v>0</v>
      </c>
      <c r="S184" s="161">
        <v>0</v>
      </c>
      <c r="T184" s="161">
        <v>0</v>
      </c>
      <c r="U184" s="161">
        <v>0</v>
      </c>
      <c r="V184" s="161">
        <v>0</v>
      </c>
      <c r="W184" s="161">
        <v>0</v>
      </c>
      <c r="X184" s="161">
        <v>0</v>
      </c>
      <c r="Y184" s="161">
        <v>0</v>
      </c>
      <c r="Z184" s="161">
        <v>0</v>
      </c>
      <c r="AA184" s="161">
        <v>0</v>
      </c>
      <c r="AB184" s="161">
        <v>0</v>
      </c>
      <c r="AC184" s="161">
        <v>0</v>
      </c>
      <c r="AD184" s="161">
        <v>0</v>
      </c>
      <c r="AE184" s="161">
        <v>0</v>
      </c>
      <c r="AF184" s="41"/>
      <c r="AH184" s="38"/>
    </row>
    <row r="185" spans="1:34" s="64" customFormat="1" ht="24.75" customHeight="1" x14ac:dyDescent="0.25">
      <c r="A185" s="87" t="s">
        <v>102</v>
      </c>
      <c r="B185" s="144">
        <f>H185+J185+L185+N185+P185+R185+T185+V185+X185+Z185+AB185+AD185</f>
        <v>0</v>
      </c>
      <c r="C185" s="144">
        <f>H185+J185+L185+N185+P185+R185</f>
        <v>0</v>
      </c>
      <c r="D185" s="145"/>
      <c r="E185" s="145">
        <f>I185+K185+M185+O185+Q185+S185+U185+W185+Y185+AA185+AC185+AE185</f>
        <v>0</v>
      </c>
      <c r="F185" s="75" t="e">
        <f t="shared" ref="F185" si="142">E185/B185</f>
        <v>#DIV/0!</v>
      </c>
      <c r="G185" s="75" t="e">
        <f t="shared" ref="G185" si="143">E185/C185</f>
        <v>#DIV/0!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144">
        <v>0</v>
      </c>
      <c r="Q185" s="144">
        <v>0</v>
      </c>
      <c r="R185" s="144">
        <v>0</v>
      </c>
      <c r="S185" s="144">
        <v>0</v>
      </c>
      <c r="T185" s="144">
        <v>0</v>
      </c>
      <c r="U185" s="144">
        <v>0</v>
      </c>
      <c r="V185" s="144">
        <v>0</v>
      </c>
      <c r="W185" s="144">
        <v>0</v>
      </c>
      <c r="X185" s="144">
        <v>0</v>
      </c>
      <c r="Y185" s="144">
        <v>0</v>
      </c>
      <c r="Z185" s="144">
        <v>0</v>
      </c>
      <c r="AA185" s="144">
        <v>0</v>
      </c>
      <c r="AB185" s="144">
        <v>0</v>
      </c>
      <c r="AC185" s="144">
        <v>0</v>
      </c>
      <c r="AD185" s="144">
        <v>0</v>
      </c>
      <c r="AE185" s="144">
        <v>0</v>
      </c>
      <c r="AF185" s="173"/>
      <c r="AG185" s="108"/>
      <c r="AH185" s="65"/>
    </row>
    <row r="186" spans="1:34" s="34" customFormat="1" ht="23.25" customHeight="1" x14ac:dyDescent="0.25">
      <c r="A186" s="76" t="s">
        <v>103</v>
      </c>
      <c r="B186" s="146">
        <f>H186+J186+L186+N186+P186+R186+T186+V186+X186+Z186+AB186+AD186</f>
        <v>0</v>
      </c>
      <c r="C186" s="147">
        <f>H186+J186+L186+N186+P186+R186+T186+V186</f>
        <v>0</v>
      </c>
      <c r="D186" s="147">
        <f>H186+J186+L186+N186+P186+R186+T186+V186</f>
        <v>0</v>
      </c>
      <c r="E186" s="147">
        <f>I186+K186+M186+O186+Q186+S186+U186+W186+Y186+AA186+AC186+AE186</f>
        <v>0</v>
      </c>
      <c r="F186" s="79" t="e">
        <f>E186/B186</f>
        <v>#DIV/0!</v>
      </c>
      <c r="G186" s="79" t="e">
        <f>E186/C186</f>
        <v>#DIV/0!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147">
        <v>0</v>
      </c>
      <c r="O186" s="147">
        <v>0</v>
      </c>
      <c r="P186" s="147">
        <v>0</v>
      </c>
      <c r="Q186" s="147">
        <v>0</v>
      </c>
      <c r="R186" s="147">
        <v>0</v>
      </c>
      <c r="S186" s="147">
        <v>0</v>
      </c>
      <c r="T186" s="147">
        <v>0</v>
      </c>
      <c r="U186" s="147">
        <v>0</v>
      </c>
      <c r="V186" s="147">
        <v>0</v>
      </c>
      <c r="W186" s="147">
        <v>0</v>
      </c>
      <c r="X186" s="147">
        <v>0</v>
      </c>
      <c r="Y186" s="147">
        <v>0</v>
      </c>
      <c r="Z186" s="147">
        <v>0</v>
      </c>
      <c r="AA186" s="147">
        <v>0</v>
      </c>
      <c r="AB186" s="147">
        <v>0</v>
      </c>
      <c r="AC186" s="147">
        <v>0</v>
      </c>
      <c r="AD186" s="147">
        <v>0</v>
      </c>
      <c r="AE186" s="176">
        <v>0</v>
      </c>
      <c r="AF186" s="82"/>
      <c r="AG186" s="108"/>
      <c r="AH186" s="35"/>
    </row>
    <row r="187" spans="1:34" s="37" customFormat="1" ht="33" x14ac:dyDescent="0.25">
      <c r="A187" s="218" t="s">
        <v>153</v>
      </c>
      <c r="B187" s="161">
        <v>0</v>
      </c>
      <c r="C187" s="162">
        <v>0</v>
      </c>
      <c r="D187" s="162">
        <v>0</v>
      </c>
      <c r="E187" s="162">
        <v>0</v>
      </c>
      <c r="F187" s="81" t="e">
        <f>E187/B187</f>
        <v>#DIV/0!</v>
      </c>
      <c r="G187" s="81" t="e">
        <f>E187/C187</f>
        <v>#DIV/0!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1">
        <v>0</v>
      </c>
      <c r="O187" s="161">
        <v>0</v>
      </c>
      <c r="P187" s="161">
        <v>0</v>
      </c>
      <c r="Q187" s="161">
        <v>0</v>
      </c>
      <c r="R187" s="161">
        <v>0</v>
      </c>
      <c r="S187" s="161">
        <v>0</v>
      </c>
      <c r="T187" s="161">
        <v>0</v>
      </c>
      <c r="U187" s="161">
        <v>0</v>
      </c>
      <c r="V187" s="161">
        <v>0</v>
      </c>
      <c r="W187" s="161">
        <v>0</v>
      </c>
      <c r="X187" s="161">
        <v>0</v>
      </c>
      <c r="Y187" s="161">
        <v>0</v>
      </c>
      <c r="Z187" s="161">
        <v>0</v>
      </c>
      <c r="AA187" s="161">
        <v>0</v>
      </c>
      <c r="AB187" s="161">
        <v>0</v>
      </c>
      <c r="AC187" s="161">
        <v>0</v>
      </c>
      <c r="AD187" s="161">
        <v>0</v>
      </c>
      <c r="AE187" s="161">
        <v>0</v>
      </c>
      <c r="AF187" s="78"/>
      <c r="AH187" s="38"/>
    </row>
    <row r="188" spans="1:34" s="37" customFormat="1" x14ac:dyDescent="0.25">
      <c r="A188" s="103" t="s">
        <v>154</v>
      </c>
      <c r="B188" s="161">
        <v>0</v>
      </c>
      <c r="C188" s="162">
        <v>0</v>
      </c>
      <c r="D188" s="162">
        <v>0</v>
      </c>
      <c r="E188" s="162">
        <v>0</v>
      </c>
      <c r="F188" s="81" t="e">
        <f>E188/B188</f>
        <v>#DIV/0!</v>
      </c>
      <c r="G188" s="81" t="e">
        <f>E188/C188</f>
        <v>#DIV/0!</v>
      </c>
      <c r="H188" s="161">
        <v>0</v>
      </c>
      <c r="I188" s="161">
        <v>0</v>
      </c>
      <c r="J188" s="161">
        <v>0</v>
      </c>
      <c r="K188" s="161">
        <v>0</v>
      </c>
      <c r="L188" s="161">
        <v>0</v>
      </c>
      <c r="M188" s="161">
        <v>0</v>
      </c>
      <c r="N188" s="161">
        <v>0</v>
      </c>
      <c r="O188" s="161">
        <v>0</v>
      </c>
      <c r="P188" s="161">
        <v>0</v>
      </c>
      <c r="Q188" s="161">
        <v>0</v>
      </c>
      <c r="R188" s="161">
        <v>0</v>
      </c>
      <c r="S188" s="161">
        <v>0</v>
      </c>
      <c r="T188" s="161">
        <v>0</v>
      </c>
      <c r="U188" s="161">
        <v>0</v>
      </c>
      <c r="V188" s="161">
        <v>0</v>
      </c>
      <c r="W188" s="161">
        <v>0</v>
      </c>
      <c r="X188" s="161">
        <v>0</v>
      </c>
      <c r="Y188" s="161">
        <v>0</v>
      </c>
      <c r="Z188" s="161">
        <v>0</v>
      </c>
      <c r="AA188" s="161">
        <v>0</v>
      </c>
      <c r="AB188" s="161">
        <v>0</v>
      </c>
      <c r="AC188" s="161">
        <v>0</v>
      </c>
      <c r="AD188" s="161">
        <v>0</v>
      </c>
      <c r="AE188" s="161">
        <v>0</v>
      </c>
      <c r="AF188" s="78"/>
      <c r="AH188" s="38"/>
    </row>
    <row r="189" spans="1:34" s="37" customFormat="1" ht="219.75" customHeight="1" x14ac:dyDescent="0.25">
      <c r="A189" s="140" t="s">
        <v>111</v>
      </c>
      <c r="B189" s="161"/>
      <c r="C189" s="167"/>
      <c r="D189" s="167"/>
      <c r="E189" s="167"/>
      <c r="F189" s="80"/>
      <c r="G189" s="80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90"/>
      <c r="AF189" s="213" t="s">
        <v>135</v>
      </c>
      <c r="AG189" s="108"/>
      <c r="AH189" s="38"/>
    </row>
    <row r="190" spans="1:34" s="37" customFormat="1" x14ac:dyDescent="0.25">
      <c r="A190" s="103" t="s">
        <v>152</v>
      </c>
      <c r="B190" s="161">
        <v>0</v>
      </c>
      <c r="C190" s="161">
        <v>0</v>
      </c>
      <c r="D190" s="161">
        <v>0</v>
      </c>
      <c r="E190" s="161">
        <v>0</v>
      </c>
      <c r="F190" s="81" t="e">
        <f>E190/B190</f>
        <v>#DIV/0!</v>
      </c>
      <c r="G190" s="81" t="e">
        <f>E190/C190</f>
        <v>#DIV/0!</v>
      </c>
      <c r="H190" s="161">
        <v>0</v>
      </c>
      <c r="I190" s="161">
        <v>0</v>
      </c>
      <c r="J190" s="161">
        <v>0</v>
      </c>
      <c r="K190" s="161">
        <v>0</v>
      </c>
      <c r="L190" s="161">
        <v>0</v>
      </c>
      <c r="M190" s="161">
        <v>0</v>
      </c>
      <c r="N190" s="161">
        <v>0</v>
      </c>
      <c r="O190" s="161">
        <v>0</v>
      </c>
      <c r="P190" s="161">
        <v>0</v>
      </c>
      <c r="Q190" s="161">
        <v>0</v>
      </c>
      <c r="R190" s="161">
        <v>0</v>
      </c>
      <c r="S190" s="161">
        <v>0</v>
      </c>
      <c r="T190" s="161">
        <v>0</v>
      </c>
      <c r="U190" s="161">
        <v>0</v>
      </c>
      <c r="V190" s="161">
        <v>0</v>
      </c>
      <c r="W190" s="161">
        <v>0</v>
      </c>
      <c r="X190" s="161">
        <v>0</v>
      </c>
      <c r="Y190" s="161">
        <v>0</v>
      </c>
      <c r="Z190" s="161">
        <v>0</v>
      </c>
      <c r="AA190" s="161">
        <v>0</v>
      </c>
      <c r="AB190" s="161">
        <v>0</v>
      </c>
      <c r="AC190" s="161">
        <v>0</v>
      </c>
      <c r="AD190" s="161">
        <v>0</v>
      </c>
      <c r="AE190" s="161">
        <v>0</v>
      </c>
      <c r="AF190" s="41"/>
      <c r="AH190" s="38"/>
    </row>
    <row r="191" spans="1:34" s="64" customFormat="1" ht="24.75" customHeight="1" x14ac:dyDescent="0.25">
      <c r="A191" s="87" t="s">
        <v>102</v>
      </c>
      <c r="B191" s="144">
        <f>H191+J191+L191+N191+P191+R191+T191+V191+X191+Z191+AB191+AD191</f>
        <v>0</v>
      </c>
      <c r="C191" s="144">
        <f>H191+J191+L191+N191+P191+R191</f>
        <v>0</v>
      </c>
      <c r="D191" s="145">
        <v>0</v>
      </c>
      <c r="E191" s="145">
        <f>I191+K191+M191+O191+Q191+S191+U191+W191+Y191+AA191+AC191+AE191</f>
        <v>0</v>
      </c>
      <c r="F191" s="75" t="e">
        <f t="shared" ref="F191" si="144">E191/B191</f>
        <v>#DIV/0!</v>
      </c>
      <c r="G191" s="75" t="e">
        <f t="shared" ref="G191" si="145">E191/C191</f>
        <v>#DIV/0!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0</v>
      </c>
      <c r="Q191" s="144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144">
        <v>0</v>
      </c>
      <c r="AD191" s="144">
        <v>0</v>
      </c>
      <c r="AE191" s="144">
        <v>0</v>
      </c>
      <c r="AF191" s="173"/>
      <c r="AG191" s="108"/>
      <c r="AH191" s="65"/>
    </row>
    <row r="192" spans="1:34" s="34" customFormat="1" ht="23.25" customHeight="1" x14ac:dyDescent="0.25">
      <c r="A192" s="76" t="s">
        <v>103</v>
      </c>
      <c r="B192" s="146">
        <f>H192+J192+L192+N192+P192+R192+T192+V192+X192+Z192+AB192+AD192</f>
        <v>0</v>
      </c>
      <c r="C192" s="147">
        <f>H192+J192+L192+N192+P192+R192+T192+V192</f>
        <v>0</v>
      </c>
      <c r="D192" s="147">
        <f>H192+J192+L192+N192+P192+R192+T192+V192</f>
        <v>0</v>
      </c>
      <c r="E192" s="147">
        <f>I192+K192+M192+O192+Q192+S192+U192+W192+Y192+AA192+AC192+AE192</f>
        <v>0</v>
      </c>
      <c r="F192" s="79"/>
      <c r="G192" s="79"/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147">
        <v>0</v>
      </c>
      <c r="S192" s="147">
        <v>0</v>
      </c>
      <c r="T192" s="147">
        <v>0</v>
      </c>
      <c r="U192" s="147">
        <v>0</v>
      </c>
      <c r="V192" s="147">
        <v>0</v>
      </c>
      <c r="W192" s="147">
        <v>0</v>
      </c>
      <c r="X192" s="147">
        <v>0</v>
      </c>
      <c r="Y192" s="147">
        <v>0</v>
      </c>
      <c r="Z192" s="147">
        <v>0</v>
      </c>
      <c r="AA192" s="147">
        <v>0</v>
      </c>
      <c r="AB192" s="147">
        <v>0</v>
      </c>
      <c r="AC192" s="147">
        <v>0</v>
      </c>
      <c r="AD192" s="147">
        <v>0</v>
      </c>
      <c r="AE192" s="176">
        <v>0</v>
      </c>
      <c r="AF192" s="82"/>
      <c r="AG192" s="108"/>
      <c r="AH192" s="35"/>
    </row>
    <row r="193" spans="1:34" s="37" customFormat="1" ht="33" x14ac:dyDescent="0.25">
      <c r="A193" s="218" t="s">
        <v>153</v>
      </c>
      <c r="B193" s="161">
        <v>0</v>
      </c>
      <c r="C193" s="162">
        <v>0</v>
      </c>
      <c r="D193" s="162">
        <v>0</v>
      </c>
      <c r="E193" s="162">
        <v>0</v>
      </c>
      <c r="F193" s="81" t="e">
        <f t="shared" ref="F193:F208" si="146">E193/B193</f>
        <v>#DIV/0!</v>
      </c>
      <c r="G193" s="81" t="e">
        <f t="shared" ref="G193:G208" si="147">E193/C193</f>
        <v>#DIV/0!</v>
      </c>
      <c r="H193" s="161">
        <v>0</v>
      </c>
      <c r="I193" s="161">
        <v>0</v>
      </c>
      <c r="J193" s="161">
        <v>0</v>
      </c>
      <c r="K193" s="161">
        <v>0</v>
      </c>
      <c r="L193" s="161">
        <v>0</v>
      </c>
      <c r="M193" s="161">
        <v>0</v>
      </c>
      <c r="N193" s="161">
        <v>0</v>
      </c>
      <c r="O193" s="161">
        <v>0</v>
      </c>
      <c r="P193" s="161">
        <v>0</v>
      </c>
      <c r="Q193" s="161">
        <v>0</v>
      </c>
      <c r="R193" s="161">
        <v>0</v>
      </c>
      <c r="S193" s="161">
        <v>0</v>
      </c>
      <c r="T193" s="161">
        <v>0</v>
      </c>
      <c r="U193" s="161">
        <v>0</v>
      </c>
      <c r="V193" s="161">
        <v>0</v>
      </c>
      <c r="W193" s="161">
        <v>0</v>
      </c>
      <c r="X193" s="161">
        <v>0</v>
      </c>
      <c r="Y193" s="161">
        <v>0</v>
      </c>
      <c r="Z193" s="161">
        <v>0</v>
      </c>
      <c r="AA193" s="161">
        <v>0</v>
      </c>
      <c r="AB193" s="161">
        <v>0</v>
      </c>
      <c r="AC193" s="161">
        <v>0</v>
      </c>
      <c r="AD193" s="161">
        <v>0</v>
      </c>
      <c r="AE193" s="161">
        <v>0</v>
      </c>
      <c r="AF193" s="78"/>
      <c r="AH193" s="38"/>
    </row>
    <row r="194" spans="1:34" s="37" customFormat="1" x14ac:dyDescent="0.25">
      <c r="A194" s="103" t="s">
        <v>154</v>
      </c>
      <c r="B194" s="161">
        <v>0</v>
      </c>
      <c r="C194" s="162">
        <v>0</v>
      </c>
      <c r="D194" s="162">
        <v>0</v>
      </c>
      <c r="E194" s="162">
        <v>0</v>
      </c>
      <c r="F194" s="81" t="e">
        <f t="shared" si="146"/>
        <v>#DIV/0!</v>
      </c>
      <c r="G194" s="81" t="e">
        <f t="shared" si="147"/>
        <v>#DIV/0!</v>
      </c>
      <c r="H194" s="161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0</v>
      </c>
      <c r="N194" s="161">
        <v>0</v>
      </c>
      <c r="O194" s="161">
        <v>0</v>
      </c>
      <c r="P194" s="161">
        <v>0</v>
      </c>
      <c r="Q194" s="161">
        <v>0</v>
      </c>
      <c r="R194" s="161">
        <v>0</v>
      </c>
      <c r="S194" s="161">
        <v>0</v>
      </c>
      <c r="T194" s="161">
        <v>0</v>
      </c>
      <c r="U194" s="161">
        <v>0</v>
      </c>
      <c r="V194" s="161">
        <v>0</v>
      </c>
      <c r="W194" s="161">
        <v>0</v>
      </c>
      <c r="X194" s="161">
        <v>0</v>
      </c>
      <c r="Y194" s="161">
        <v>0</v>
      </c>
      <c r="Z194" s="161">
        <v>0</v>
      </c>
      <c r="AA194" s="161">
        <v>0</v>
      </c>
      <c r="AB194" s="161">
        <v>0</v>
      </c>
      <c r="AC194" s="161">
        <v>0</v>
      </c>
      <c r="AD194" s="161">
        <v>0</v>
      </c>
      <c r="AE194" s="161">
        <v>0</v>
      </c>
      <c r="AF194" s="78"/>
      <c r="AH194" s="38"/>
    </row>
    <row r="195" spans="1:34" s="64" customFormat="1" ht="35.25" customHeight="1" x14ac:dyDescent="0.25">
      <c r="A195" s="68" t="s">
        <v>20</v>
      </c>
      <c r="B195" s="142">
        <f>B196</f>
        <v>0</v>
      </c>
      <c r="C195" s="142">
        <f t="shared" ref="C195:AD195" si="148">C196</f>
        <v>0</v>
      </c>
      <c r="D195" s="142">
        <f t="shared" si="148"/>
        <v>0</v>
      </c>
      <c r="E195" s="142">
        <f t="shared" si="148"/>
        <v>0</v>
      </c>
      <c r="F195" s="128" t="e">
        <f t="shared" si="146"/>
        <v>#DIV/0!</v>
      </c>
      <c r="G195" s="128" t="e">
        <f t="shared" si="147"/>
        <v>#DIV/0!</v>
      </c>
      <c r="H195" s="142">
        <f>H196</f>
        <v>549.18630000000007</v>
      </c>
      <c r="I195" s="142">
        <f t="shared" si="148"/>
        <v>501.40995000000004</v>
      </c>
      <c r="J195" s="142">
        <f>J196</f>
        <v>252.65505999999999</v>
      </c>
      <c r="K195" s="142">
        <f t="shared" si="148"/>
        <v>270.34140000000002</v>
      </c>
      <c r="L195" s="142">
        <f t="shared" si="148"/>
        <v>107.53406</v>
      </c>
      <c r="M195" s="142">
        <f t="shared" si="148"/>
        <v>108.55</v>
      </c>
      <c r="N195" s="142">
        <f t="shared" si="148"/>
        <v>275.43006000000003</v>
      </c>
      <c r="O195" s="142">
        <f t="shared" si="148"/>
        <v>260.88</v>
      </c>
      <c r="P195" s="142">
        <f>P196</f>
        <v>160.66806</v>
      </c>
      <c r="Q195" s="142">
        <f t="shared" si="148"/>
        <v>131.81647000000001</v>
      </c>
      <c r="R195" s="142">
        <f t="shared" si="148"/>
        <v>404.28805999999997</v>
      </c>
      <c r="S195" s="142">
        <f t="shared" si="148"/>
        <v>352.72</v>
      </c>
      <c r="T195" s="142">
        <f>T196</f>
        <v>306.48205999999999</v>
      </c>
      <c r="U195" s="142">
        <f t="shared" si="148"/>
        <v>316.20999999999998</v>
      </c>
      <c r="V195" s="142">
        <f t="shared" si="148"/>
        <v>379.95206000000002</v>
      </c>
      <c r="W195" s="142">
        <f t="shared" si="148"/>
        <v>362</v>
      </c>
      <c r="X195" s="142">
        <f>X196</f>
        <v>192.69406000000001</v>
      </c>
      <c r="Y195" s="142">
        <f t="shared" si="148"/>
        <v>155.37</v>
      </c>
      <c r="Z195" s="142">
        <f t="shared" si="148"/>
        <v>178.84729999999999</v>
      </c>
      <c r="AA195" s="142">
        <f t="shared" si="148"/>
        <v>231.4</v>
      </c>
      <c r="AB195" s="142">
        <f t="shared" si="148"/>
        <v>114.81394</v>
      </c>
      <c r="AC195" s="142">
        <f t="shared" si="148"/>
        <v>126.19</v>
      </c>
      <c r="AD195" s="142">
        <f t="shared" si="148"/>
        <v>263.65098</v>
      </c>
      <c r="AE195" s="169"/>
      <c r="AF195" s="63"/>
      <c r="AH195" s="65"/>
    </row>
    <row r="196" spans="1:34" s="37" customFormat="1" x14ac:dyDescent="0.25">
      <c r="A196" s="89" t="s">
        <v>25</v>
      </c>
      <c r="B196" s="143">
        <f>B198+B199</f>
        <v>0</v>
      </c>
      <c r="C196" s="143">
        <f>C198+C199</f>
        <v>0</v>
      </c>
      <c r="D196" s="143">
        <f t="shared" ref="D196" si="149">D198+D199</f>
        <v>0</v>
      </c>
      <c r="E196" s="143">
        <f>E198+E199</f>
        <v>0</v>
      </c>
      <c r="F196" s="90" t="e">
        <f t="shared" si="146"/>
        <v>#DIV/0!</v>
      </c>
      <c r="G196" s="90" t="e">
        <f t="shared" si="147"/>
        <v>#DIV/0!</v>
      </c>
      <c r="H196" s="143">
        <f t="shared" ref="H196:AE196" si="150">H198+H199</f>
        <v>549.18630000000007</v>
      </c>
      <c r="I196" s="143">
        <f t="shared" si="150"/>
        <v>501.40995000000004</v>
      </c>
      <c r="J196" s="143">
        <f t="shared" si="150"/>
        <v>252.65505999999999</v>
      </c>
      <c r="K196" s="143">
        <f t="shared" si="150"/>
        <v>270.34140000000002</v>
      </c>
      <c r="L196" s="143">
        <f t="shared" si="150"/>
        <v>107.53406</v>
      </c>
      <c r="M196" s="143">
        <f t="shared" si="150"/>
        <v>108.55</v>
      </c>
      <c r="N196" s="143">
        <f t="shared" si="150"/>
        <v>275.43006000000003</v>
      </c>
      <c r="O196" s="143">
        <f t="shared" si="150"/>
        <v>260.88</v>
      </c>
      <c r="P196" s="143">
        <f t="shared" si="150"/>
        <v>160.66806</v>
      </c>
      <c r="Q196" s="143">
        <f t="shared" si="150"/>
        <v>131.81647000000001</v>
      </c>
      <c r="R196" s="143">
        <f t="shared" si="150"/>
        <v>404.28805999999997</v>
      </c>
      <c r="S196" s="143">
        <f t="shared" si="150"/>
        <v>352.72</v>
      </c>
      <c r="T196" s="143">
        <f t="shared" si="150"/>
        <v>306.48205999999999</v>
      </c>
      <c r="U196" s="143">
        <f t="shared" si="150"/>
        <v>316.20999999999998</v>
      </c>
      <c r="V196" s="143">
        <f t="shared" si="150"/>
        <v>379.95206000000002</v>
      </c>
      <c r="W196" s="143">
        <f t="shared" si="150"/>
        <v>362</v>
      </c>
      <c r="X196" s="143">
        <f t="shared" si="150"/>
        <v>192.69406000000001</v>
      </c>
      <c r="Y196" s="143">
        <f t="shared" si="150"/>
        <v>155.37</v>
      </c>
      <c r="Z196" s="143">
        <f t="shared" si="150"/>
        <v>178.84729999999999</v>
      </c>
      <c r="AA196" s="143">
        <f t="shared" si="150"/>
        <v>231.4</v>
      </c>
      <c r="AB196" s="143">
        <f t="shared" si="150"/>
        <v>114.81394</v>
      </c>
      <c r="AC196" s="143">
        <f t="shared" si="150"/>
        <v>126.19</v>
      </c>
      <c r="AD196" s="143">
        <f t="shared" si="150"/>
        <v>263.65098</v>
      </c>
      <c r="AE196" s="143">
        <f t="shared" si="150"/>
        <v>0</v>
      </c>
      <c r="AF196" s="91"/>
      <c r="AH196" s="38"/>
    </row>
    <row r="197" spans="1:34" s="37" customFormat="1" x14ac:dyDescent="0.25">
      <c r="A197" s="103" t="s">
        <v>152</v>
      </c>
      <c r="B197" s="161">
        <f>B178</f>
        <v>0</v>
      </c>
      <c r="C197" s="161">
        <f t="shared" ref="C197:E197" si="151">C178</f>
        <v>0</v>
      </c>
      <c r="D197" s="161">
        <f t="shared" si="151"/>
        <v>0</v>
      </c>
      <c r="E197" s="161">
        <f t="shared" si="151"/>
        <v>0</v>
      </c>
      <c r="F197" s="81" t="e">
        <f t="shared" si="146"/>
        <v>#DIV/0!</v>
      </c>
      <c r="G197" s="81" t="e">
        <f t="shared" si="147"/>
        <v>#DIV/0!</v>
      </c>
      <c r="H197" s="161">
        <f>H165</f>
        <v>0</v>
      </c>
      <c r="I197" s="161">
        <f t="shared" ref="I197:AE197" si="152">I165</f>
        <v>0</v>
      </c>
      <c r="J197" s="161">
        <f t="shared" si="152"/>
        <v>0</v>
      </c>
      <c r="K197" s="161">
        <f t="shared" si="152"/>
        <v>0</v>
      </c>
      <c r="L197" s="161">
        <f t="shared" si="152"/>
        <v>0</v>
      </c>
      <c r="M197" s="161">
        <f t="shared" si="152"/>
        <v>0</v>
      </c>
      <c r="N197" s="161">
        <f t="shared" si="152"/>
        <v>0</v>
      </c>
      <c r="O197" s="161">
        <f t="shared" si="152"/>
        <v>0</v>
      </c>
      <c r="P197" s="161">
        <f t="shared" si="152"/>
        <v>0</v>
      </c>
      <c r="Q197" s="161">
        <f t="shared" si="152"/>
        <v>0</v>
      </c>
      <c r="R197" s="161">
        <f t="shared" si="152"/>
        <v>0</v>
      </c>
      <c r="S197" s="161">
        <f t="shared" si="152"/>
        <v>0</v>
      </c>
      <c r="T197" s="161">
        <f t="shared" si="152"/>
        <v>0</v>
      </c>
      <c r="U197" s="161">
        <f t="shared" si="152"/>
        <v>0</v>
      </c>
      <c r="V197" s="161">
        <f t="shared" si="152"/>
        <v>0</v>
      </c>
      <c r="W197" s="161">
        <f t="shared" si="152"/>
        <v>0</v>
      </c>
      <c r="X197" s="161">
        <f t="shared" si="152"/>
        <v>0</v>
      </c>
      <c r="Y197" s="161">
        <f t="shared" si="152"/>
        <v>0</v>
      </c>
      <c r="Z197" s="161">
        <f t="shared" si="152"/>
        <v>0</v>
      </c>
      <c r="AA197" s="161">
        <f t="shared" si="152"/>
        <v>0</v>
      </c>
      <c r="AB197" s="161">
        <f t="shared" si="152"/>
        <v>0</v>
      </c>
      <c r="AC197" s="161">
        <f t="shared" si="152"/>
        <v>0</v>
      </c>
      <c r="AD197" s="161">
        <f t="shared" si="152"/>
        <v>0</v>
      </c>
      <c r="AE197" s="161">
        <f t="shared" si="152"/>
        <v>0</v>
      </c>
      <c r="AF197" s="216"/>
      <c r="AH197" s="38"/>
    </row>
    <row r="198" spans="1:34" s="37" customFormat="1" x14ac:dyDescent="0.25">
      <c r="A198" s="72" t="s">
        <v>102</v>
      </c>
      <c r="B198" s="222">
        <f t="shared" ref="B198:E198" si="153">B179</f>
        <v>0</v>
      </c>
      <c r="C198" s="222">
        <f t="shared" si="153"/>
        <v>0</v>
      </c>
      <c r="D198" s="222">
        <f t="shared" si="153"/>
        <v>0</v>
      </c>
      <c r="E198" s="222">
        <f t="shared" si="153"/>
        <v>0</v>
      </c>
      <c r="F198" s="75" t="e">
        <f t="shared" si="146"/>
        <v>#DIV/0!</v>
      </c>
      <c r="G198" s="75" t="e">
        <f t="shared" si="147"/>
        <v>#DIV/0!</v>
      </c>
      <c r="H198" s="144">
        <f t="shared" ref="H198:AE198" si="154">H166</f>
        <v>549.18630000000007</v>
      </c>
      <c r="I198" s="144">
        <f t="shared" si="154"/>
        <v>501.40995000000004</v>
      </c>
      <c r="J198" s="144">
        <f t="shared" si="154"/>
        <v>252.65505999999999</v>
      </c>
      <c r="K198" s="144">
        <f t="shared" si="154"/>
        <v>270.34140000000002</v>
      </c>
      <c r="L198" s="144">
        <f t="shared" si="154"/>
        <v>107.53406</v>
      </c>
      <c r="M198" s="144">
        <f t="shared" si="154"/>
        <v>108.55</v>
      </c>
      <c r="N198" s="144">
        <f t="shared" si="154"/>
        <v>275.43006000000003</v>
      </c>
      <c r="O198" s="144">
        <f t="shared" si="154"/>
        <v>260.88</v>
      </c>
      <c r="P198" s="144">
        <f t="shared" si="154"/>
        <v>160.66806</v>
      </c>
      <c r="Q198" s="144">
        <f t="shared" si="154"/>
        <v>131.81647000000001</v>
      </c>
      <c r="R198" s="144">
        <f t="shared" si="154"/>
        <v>404.28805999999997</v>
      </c>
      <c r="S198" s="144">
        <f t="shared" si="154"/>
        <v>352.72</v>
      </c>
      <c r="T198" s="144">
        <f t="shared" si="154"/>
        <v>306.48205999999999</v>
      </c>
      <c r="U198" s="144">
        <f t="shared" si="154"/>
        <v>316.20999999999998</v>
      </c>
      <c r="V198" s="144">
        <f t="shared" si="154"/>
        <v>379.95206000000002</v>
      </c>
      <c r="W198" s="144">
        <f t="shared" si="154"/>
        <v>362</v>
      </c>
      <c r="X198" s="144">
        <f t="shared" si="154"/>
        <v>192.69406000000001</v>
      </c>
      <c r="Y198" s="144">
        <f t="shared" si="154"/>
        <v>155.37</v>
      </c>
      <c r="Z198" s="144">
        <f t="shared" si="154"/>
        <v>178.84729999999999</v>
      </c>
      <c r="AA198" s="144">
        <f t="shared" si="154"/>
        <v>231.4</v>
      </c>
      <c r="AB198" s="144">
        <f t="shared" si="154"/>
        <v>114.81394</v>
      </c>
      <c r="AC198" s="144">
        <f t="shared" si="154"/>
        <v>126.19</v>
      </c>
      <c r="AD198" s="144">
        <f t="shared" si="154"/>
        <v>263.65098</v>
      </c>
      <c r="AE198" s="144">
        <f t="shared" si="154"/>
        <v>0</v>
      </c>
      <c r="AF198" s="74"/>
      <c r="AH198" s="38"/>
    </row>
    <row r="199" spans="1:34" s="37" customFormat="1" x14ac:dyDescent="0.25">
      <c r="A199" s="76" t="s">
        <v>103</v>
      </c>
      <c r="B199" s="146">
        <f t="shared" ref="B199:E199" si="155">B180</f>
        <v>0</v>
      </c>
      <c r="C199" s="147">
        <f t="shared" si="155"/>
        <v>0</v>
      </c>
      <c r="D199" s="147">
        <f t="shared" si="155"/>
        <v>0</v>
      </c>
      <c r="E199" s="147">
        <f t="shared" si="155"/>
        <v>0</v>
      </c>
      <c r="F199" s="79" t="e">
        <f t="shared" si="146"/>
        <v>#DIV/0!</v>
      </c>
      <c r="G199" s="79" t="e">
        <f t="shared" si="147"/>
        <v>#DIV/0!</v>
      </c>
      <c r="H199" s="146">
        <f t="shared" ref="H199:AE199" si="156">H167</f>
        <v>0</v>
      </c>
      <c r="I199" s="147">
        <f t="shared" si="156"/>
        <v>0</v>
      </c>
      <c r="J199" s="147">
        <f t="shared" si="156"/>
        <v>0</v>
      </c>
      <c r="K199" s="147">
        <f t="shared" si="156"/>
        <v>0</v>
      </c>
      <c r="L199" s="146">
        <f t="shared" si="156"/>
        <v>0</v>
      </c>
      <c r="M199" s="147">
        <f t="shared" si="156"/>
        <v>0</v>
      </c>
      <c r="N199" s="147">
        <f t="shared" si="156"/>
        <v>0</v>
      </c>
      <c r="O199" s="147">
        <f t="shared" si="156"/>
        <v>0</v>
      </c>
      <c r="P199" s="146">
        <f t="shared" si="156"/>
        <v>0</v>
      </c>
      <c r="Q199" s="147">
        <f t="shared" si="156"/>
        <v>0</v>
      </c>
      <c r="R199" s="147">
        <f t="shared" si="156"/>
        <v>0</v>
      </c>
      <c r="S199" s="147">
        <f t="shared" si="156"/>
        <v>0</v>
      </c>
      <c r="T199" s="146">
        <f t="shared" si="156"/>
        <v>0</v>
      </c>
      <c r="U199" s="147">
        <f t="shared" si="156"/>
        <v>0</v>
      </c>
      <c r="V199" s="147">
        <f t="shared" si="156"/>
        <v>0</v>
      </c>
      <c r="W199" s="147">
        <f t="shared" si="156"/>
        <v>0</v>
      </c>
      <c r="X199" s="146">
        <f t="shared" si="156"/>
        <v>0</v>
      </c>
      <c r="Y199" s="147">
        <f t="shared" si="156"/>
        <v>0</v>
      </c>
      <c r="Z199" s="147">
        <f t="shared" si="156"/>
        <v>0</v>
      </c>
      <c r="AA199" s="147">
        <f t="shared" si="156"/>
        <v>0</v>
      </c>
      <c r="AB199" s="146">
        <f t="shared" si="156"/>
        <v>0</v>
      </c>
      <c r="AC199" s="147">
        <f t="shared" si="156"/>
        <v>0</v>
      </c>
      <c r="AD199" s="147">
        <f t="shared" si="156"/>
        <v>0</v>
      </c>
      <c r="AE199" s="147">
        <f t="shared" si="156"/>
        <v>0</v>
      </c>
      <c r="AF199" s="78"/>
      <c r="AH199" s="38"/>
    </row>
    <row r="200" spans="1:34" s="37" customFormat="1" ht="33" x14ac:dyDescent="0.25">
      <c r="A200" s="218" t="s">
        <v>153</v>
      </c>
      <c r="B200" s="161">
        <f t="shared" ref="B200:E200" si="157">B181</f>
        <v>0</v>
      </c>
      <c r="C200" s="161">
        <f t="shared" si="157"/>
        <v>0</v>
      </c>
      <c r="D200" s="161">
        <f t="shared" si="157"/>
        <v>0</v>
      </c>
      <c r="E200" s="161">
        <f t="shared" si="157"/>
        <v>0</v>
      </c>
      <c r="F200" s="81" t="e">
        <f t="shared" si="146"/>
        <v>#DIV/0!</v>
      </c>
      <c r="G200" s="81" t="e">
        <f t="shared" si="147"/>
        <v>#DIV/0!</v>
      </c>
      <c r="H200" s="161">
        <f t="shared" ref="H200:AE200" si="158">H168</f>
        <v>0</v>
      </c>
      <c r="I200" s="161">
        <f t="shared" si="158"/>
        <v>0</v>
      </c>
      <c r="J200" s="161">
        <f t="shared" si="158"/>
        <v>0</v>
      </c>
      <c r="K200" s="161">
        <f t="shared" si="158"/>
        <v>0</v>
      </c>
      <c r="L200" s="161">
        <f t="shared" si="158"/>
        <v>0</v>
      </c>
      <c r="M200" s="161">
        <f t="shared" si="158"/>
        <v>0</v>
      </c>
      <c r="N200" s="161">
        <f t="shared" si="158"/>
        <v>0</v>
      </c>
      <c r="O200" s="161">
        <f t="shared" si="158"/>
        <v>0</v>
      </c>
      <c r="P200" s="161">
        <f t="shared" si="158"/>
        <v>0</v>
      </c>
      <c r="Q200" s="161">
        <f t="shared" si="158"/>
        <v>0</v>
      </c>
      <c r="R200" s="161">
        <f t="shared" si="158"/>
        <v>0</v>
      </c>
      <c r="S200" s="161">
        <f t="shared" si="158"/>
        <v>0</v>
      </c>
      <c r="T200" s="161">
        <f t="shared" si="158"/>
        <v>0</v>
      </c>
      <c r="U200" s="161">
        <f t="shared" si="158"/>
        <v>0</v>
      </c>
      <c r="V200" s="161">
        <f t="shared" si="158"/>
        <v>0</v>
      </c>
      <c r="W200" s="161">
        <f t="shared" si="158"/>
        <v>0</v>
      </c>
      <c r="X200" s="161">
        <f t="shared" si="158"/>
        <v>0</v>
      </c>
      <c r="Y200" s="161">
        <f t="shared" si="158"/>
        <v>0</v>
      </c>
      <c r="Z200" s="161">
        <f t="shared" si="158"/>
        <v>0</v>
      </c>
      <c r="AA200" s="161">
        <f t="shared" si="158"/>
        <v>0</v>
      </c>
      <c r="AB200" s="161">
        <f t="shared" si="158"/>
        <v>0</v>
      </c>
      <c r="AC200" s="161">
        <f t="shared" si="158"/>
        <v>0</v>
      </c>
      <c r="AD200" s="161">
        <f t="shared" si="158"/>
        <v>0</v>
      </c>
      <c r="AE200" s="161">
        <f t="shared" si="158"/>
        <v>0</v>
      </c>
      <c r="AF200" s="217"/>
      <c r="AH200" s="38"/>
    </row>
    <row r="201" spans="1:34" s="37" customFormat="1" x14ac:dyDescent="0.25">
      <c r="A201" s="103" t="s">
        <v>154</v>
      </c>
      <c r="B201" s="161">
        <f t="shared" ref="B201:E201" si="159">B182</f>
        <v>0</v>
      </c>
      <c r="C201" s="161">
        <f t="shared" si="159"/>
        <v>0</v>
      </c>
      <c r="D201" s="161">
        <f t="shared" si="159"/>
        <v>0</v>
      </c>
      <c r="E201" s="161">
        <f t="shared" si="159"/>
        <v>0</v>
      </c>
      <c r="F201" s="81" t="e">
        <f t="shared" si="146"/>
        <v>#DIV/0!</v>
      </c>
      <c r="G201" s="81" t="e">
        <f t="shared" si="147"/>
        <v>#DIV/0!</v>
      </c>
      <c r="H201" s="161">
        <f t="shared" ref="H201:AE201" si="160">H169</f>
        <v>0</v>
      </c>
      <c r="I201" s="161">
        <f t="shared" si="160"/>
        <v>0</v>
      </c>
      <c r="J201" s="161">
        <f t="shared" si="160"/>
        <v>0</v>
      </c>
      <c r="K201" s="161">
        <f t="shared" si="160"/>
        <v>0</v>
      </c>
      <c r="L201" s="161">
        <f t="shared" si="160"/>
        <v>0</v>
      </c>
      <c r="M201" s="161">
        <f t="shared" si="160"/>
        <v>0</v>
      </c>
      <c r="N201" s="161">
        <f t="shared" si="160"/>
        <v>0</v>
      </c>
      <c r="O201" s="161">
        <f t="shared" si="160"/>
        <v>0</v>
      </c>
      <c r="P201" s="161">
        <f t="shared" si="160"/>
        <v>0</v>
      </c>
      <c r="Q201" s="161">
        <f t="shared" si="160"/>
        <v>0</v>
      </c>
      <c r="R201" s="161">
        <f t="shared" si="160"/>
        <v>0</v>
      </c>
      <c r="S201" s="161">
        <f t="shared" si="160"/>
        <v>0</v>
      </c>
      <c r="T201" s="161">
        <f t="shared" si="160"/>
        <v>0</v>
      </c>
      <c r="U201" s="161">
        <f t="shared" si="160"/>
        <v>0</v>
      </c>
      <c r="V201" s="161">
        <f t="shared" si="160"/>
        <v>0</v>
      </c>
      <c r="W201" s="161">
        <f t="shared" si="160"/>
        <v>0</v>
      </c>
      <c r="X201" s="161">
        <f t="shared" si="160"/>
        <v>0</v>
      </c>
      <c r="Y201" s="161">
        <f t="shared" si="160"/>
        <v>0</v>
      </c>
      <c r="Z201" s="161">
        <f t="shared" si="160"/>
        <v>0</v>
      </c>
      <c r="AA201" s="161">
        <f t="shared" si="160"/>
        <v>0</v>
      </c>
      <c r="AB201" s="161">
        <f t="shared" si="160"/>
        <v>0</v>
      </c>
      <c r="AC201" s="161">
        <f t="shared" si="160"/>
        <v>0</v>
      </c>
      <c r="AD201" s="161">
        <f t="shared" si="160"/>
        <v>0</v>
      </c>
      <c r="AE201" s="161">
        <f t="shared" si="160"/>
        <v>0</v>
      </c>
      <c r="AF201" s="217"/>
      <c r="AH201" s="38"/>
    </row>
    <row r="202" spans="1:34" s="64" customFormat="1" ht="30" customHeight="1" x14ac:dyDescent="0.25">
      <c r="A202" s="68" t="s">
        <v>27</v>
      </c>
      <c r="B202" s="142">
        <f>B203</f>
        <v>0</v>
      </c>
      <c r="C202" s="142">
        <f t="shared" ref="C202:AD202" si="161">C203</f>
        <v>0</v>
      </c>
      <c r="D202" s="142">
        <f t="shared" si="161"/>
        <v>0</v>
      </c>
      <c r="E202" s="142">
        <f t="shared" si="161"/>
        <v>0</v>
      </c>
      <c r="F202" s="128" t="e">
        <f t="shared" si="146"/>
        <v>#DIV/0!</v>
      </c>
      <c r="G202" s="128" t="e">
        <f t="shared" si="147"/>
        <v>#DIV/0!</v>
      </c>
      <c r="H202" s="142">
        <f>H203</f>
        <v>549.18630000000007</v>
      </c>
      <c r="I202" s="142">
        <f t="shared" si="161"/>
        <v>501.40995000000004</v>
      </c>
      <c r="J202" s="142">
        <f>J203</f>
        <v>252.65505999999999</v>
      </c>
      <c r="K202" s="142">
        <f t="shared" si="161"/>
        <v>270.34140000000002</v>
      </c>
      <c r="L202" s="142">
        <f t="shared" si="161"/>
        <v>107.53406</v>
      </c>
      <c r="M202" s="142">
        <f t="shared" si="161"/>
        <v>108.55</v>
      </c>
      <c r="N202" s="142">
        <f t="shared" si="161"/>
        <v>275.43006000000003</v>
      </c>
      <c r="O202" s="142">
        <f t="shared" si="161"/>
        <v>260.88</v>
      </c>
      <c r="P202" s="142">
        <f>P203</f>
        <v>160.66806</v>
      </c>
      <c r="Q202" s="142">
        <f t="shared" si="161"/>
        <v>131.81647000000001</v>
      </c>
      <c r="R202" s="142">
        <f t="shared" si="161"/>
        <v>404.28805999999997</v>
      </c>
      <c r="S202" s="142">
        <f t="shared" si="161"/>
        <v>352.72</v>
      </c>
      <c r="T202" s="142">
        <f>T203</f>
        <v>306.48205999999999</v>
      </c>
      <c r="U202" s="142">
        <f t="shared" si="161"/>
        <v>316.20999999999998</v>
      </c>
      <c r="V202" s="142">
        <f t="shared" si="161"/>
        <v>379.95206000000002</v>
      </c>
      <c r="W202" s="142">
        <f t="shared" si="161"/>
        <v>362</v>
      </c>
      <c r="X202" s="142">
        <f>X203</f>
        <v>192.69406000000001</v>
      </c>
      <c r="Y202" s="142">
        <f t="shared" si="161"/>
        <v>155.37</v>
      </c>
      <c r="Z202" s="142">
        <f t="shared" si="161"/>
        <v>178.84729999999999</v>
      </c>
      <c r="AA202" s="142">
        <f t="shared" si="161"/>
        <v>231.4</v>
      </c>
      <c r="AB202" s="142">
        <f t="shared" si="161"/>
        <v>114.81394</v>
      </c>
      <c r="AC202" s="142">
        <f t="shared" si="161"/>
        <v>126.19</v>
      </c>
      <c r="AD202" s="142">
        <f t="shared" si="161"/>
        <v>263.65098</v>
      </c>
      <c r="AE202" s="169"/>
      <c r="AF202" s="63"/>
      <c r="AH202" s="65"/>
    </row>
    <row r="203" spans="1:34" s="37" customFormat="1" x14ac:dyDescent="0.25">
      <c r="A203" s="89" t="s">
        <v>25</v>
      </c>
      <c r="B203" s="143">
        <f>B205+B206</f>
        <v>0</v>
      </c>
      <c r="C203" s="143">
        <f>C205+C206</f>
        <v>0</v>
      </c>
      <c r="D203" s="143">
        <f t="shared" ref="D203" si="162">D205+D206</f>
        <v>0</v>
      </c>
      <c r="E203" s="143">
        <f>E205+E206</f>
        <v>0</v>
      </c>
      <c r="F203" s="90" t="e">
        <f t="shared" si="146"/>
        <v>#DIV/0!</v>
      </c>
      <c r="G203" s="90" t="e">
        <f t="shared" si="147"/>
        <v>#DIV/0!</v>
      </c>
      <c r="H203" s="143">
        <f t="shared" ref="H203:AE203" si="163">H205+H206</f>
        <v>549.18630000000007</v>
      </c>
      <c r="I203" s="143">
        <f t="shared" si="163"/>
        <v>501.40995000000004</v>
      </c>
      <c r="J203" s="143">
        <f t="shared" si="163"/>
        <v>252.65505999999999</v>
      </c>
      <c r="K203" s="143">
        <f t="shared" si="163"/>
        <v>270.34140000000002</v>
      </c>
      <c r="L203" s="143">
        <f t="shared" si="163"/>
        <v>107.53406</v>
      </c>
      <c r="M203" s="143">
        <f t="shared" si="163"/>
        <v>108.55</v>
      </c>
      <c r="N203" s="143">
        <f t="shared" si="163"/>
        <v>275.43006000000003</v>
      </c>
      <c r="O203" s="143">
        <f t="shared" si="163"/>
        <v>260.88</v>
      </c>
      <c r="P203" s="143">
        <f t="shared" si="163"/>
        <v>160.66806</v>
      </c>
      <c r="Q203" s="143">
        <f t="shared" si="163"/>
        <v>131.81647000000001</v>
      </c>
      <c r="R203" s="143">
        <f t="shared" si="163"/>
        <v>404.28805999999997</v>
      </c>
      <c r="S203" s="143">
        <f t="shared" si="163"/>
        <v>352.72</v>
      </c>
      <c r="T203" s="143">
        <f t="shared" si="163"/>
        <v>306.48205999999999</v>
      </c>
      <c r="U203" s="143">
        <f t="shared" si="163"/>
        <v>316.20999999999998</v>
      </c>
      <c r="V203" s="143">
        <f t="shared" si="163"/>
        <v>379.95206000000002</v>
      </c>
      <c r="W203" s="143">
        <f t="shared" si="163"/>
        <v>362</v>
      </c>
      <c r="X203" s="143">
        <f t="shared" si="163"/>
        <v>192.69406000000001</v>
      </c>
      <c r="Y203" s="143">
        <f t="shared" si="163"/>
        <v>155.37</v>
      </c>
      <c r="Z203" s="143">
        <f t="shared" si="163"/>
        <v>178.84729999999999</v>
      </c>
      <c r="AA203" s="143">
        <f t="shared" si="163"/>
        <v>231.4</v>
      </c>
      <c r="AB203" s="143">
        <f t="shared" si="163"/>
        <v>114.81394</v>
      </c>
      <c r="AC203" s="143">
        <f t="shared" si="163"/>
        <v>126.19</v>
      </c>
      <c r="AD203" s="143">
        <f t="shared" si="163"/>
        <v>263.65098</v>
      </c>
      <c r="AE203" s="143">
        <f t="shared" si="163"/>
        <v>0</v>
      </c>
      <c r="AF203" s="91"/>
      <c r="AH203" s="38"/>
    </row>
    <row r="204" spans="1:34" s="37" customFormat="1" x14ac:dyDescent="0.25">
      <c r="A204" s="103" t="s">
        <v>152</v>
      </c>
      <c r="B204" s="161">
        <f>B197</f>
        <v>0</v>
      </c>
      <c r="C204" s="161">
        <f t="shared" ref="C204:E204" si="164">C197</f>
        <v>0</v>
      </c>
      <c r="D204" s="161">
        <f t="shared" si="164"/>
        <v>0</v>
      </c>
      <c r="E204" s="161">
        <f t="shared" si="164"/>
        <v>0</v>
      </c>
      <c r="F204" s="81" t="e">
        <f t="shared" si="146"/>
        <v>#DIV/0!</v>
      </c>
      <c r="G204" s="81" t="e">
        <f t="shared" si="147"/>
        <v>#DIV/0!</v>
      </c>
      <c r="H204" s="161">
        <f>H197</f>
        <v>0</v>
      </c>
      <c r="I204" s="161">
        <f t="shared" ref="I204:AE204" si="165">I197</f>
        <v>0</v>
      </c>
      <c r="J204" s="161">
        <f t="shared" si="165"/>
        <v>0</v>
      </c>
      <c r="K204" s="161">
        <f t="shared" si="165"/>
        <v>0</v>
      </c>
      <c r="L204" s="161">
        <f t="shared" si="165"/>
        <v>0</v>
      </c>
      <c r="M204" s="161">
        <f t="shared" si="165"/>
        <v>0</v>
      </c>
      <c r="N204" s="161">
        <f t="shared" si="165"/>
        <v>0</v>
      </c>
      <c r="O204" s="161">
        <f t="shared" si="165"/>
        <v>0</v>
      </c>
      <c r="P204" s="161">
        <f t="shared" si="165"/>
        <v>0</v>
      </c>
      <c r="Q204" s="161">
        <f t="shared" si="165"/>
        <v>0</v>
      </c>
      <c r="R204" s="161">
        <f t="shared" si="165"/>
        <v>0</v>
      </c>
      <c r="S204" s="161">
        <f t="shared" si="165"/>
        <v>0</v>
      </c>
      <c r="T204" s="161">
        <f t="shared" si="165"/>
        <v>0</v>
      </c>
      <c r="U204" s="161">
        <f t="shared" si="165"/>
        <v>0</v>
      </c>
      <c r="V204" s="161">
        <f t="shared" si="165"/>
        <v>0</v>
      </c>
      <c r="W204" s="161">
        <f t="shared" si="165"/>
        <v>0</v>
      </c>
      <c r="X204" s="161">
        <f t="shared" si="165"/>
        <v>0</v>
      </c>
      <c r="Y204" s="161">
        <f t="shared" si="165"/>
        <v>0</v>
      </c>
      <c r="Z204" s="161">
        <f t="shared" si="165"/>
        <v>0</v>
      </c>
      <c r="AA204" s="161">
        <f t="shared" si="165"/>
        <v>0</v>
      </c>
      <c r="AB204" s="161">
        <f t="shared" si="165"/>
        <v>0</v>
      </c>
      <c r="AC204" s="161">
        <f t="shared" si="165"/>
        <v>0</v>
      </c>
      <c r="AD204" s="161">
        <f t="shared" si="165"/>
        <v>0</v>
      </c>
      <c r="AE204" s="161">
        <f t="shared" si="165"/>
        <v>0</v>
      </c>
      <c r="AF204" s="216"/>
      <c r="AH204" s="38"/>
    </row>
    <row r="205" spans="1:34" s="37" customFormat="1" x14ac:dyDescent="0.25">
      <c r="A205" s="72" t="s">
        <v>102</v>
      </c>
      <c r="B205" s="144">
        <f t="shared" ref="B205:E205" si="166">B198</f>
        <v>0</v>
      </c>
      <c r="C205" s="145">
        <f t="shared" si="166"/>
        <v>0</v>
      </c>
      <c r="D205" s="145">
        <f t="shared" si="166"/>
        <v>0</v>
      </c>
      <c r="E205" s="145">
        <f t="shared" si="166"/>
        <v>0</v>
      </c>
      <c r="F205" s="75" t="e">
        <f t="shared" si="146"/>
        <v>#DIV/0!</v>
      </c>
      <c r="G205" s="75" t="e">
        <f t="shared" si="147"/>
        <v>#DIV/0!</v>
      </c>
      <c r="H205" s="144">
        <f t="shared" ref="H205:AE205" si="167">H198</f>
        <v>549.18630000000007</v>
      </c>
      <c r="I205" s="145">
        <f t="shared" si="167"/>
        <v>501.40995000000004</v>
      </c>
      <c r="J205" s="145">
        <f t="shared" si="167"/>
        <v>252.65505999999999</v>
      </c>
      <c r="K205" s="145">
        <f t="shared" si="167"/>
        <v>270.34140000000002</v>
      </c>
      <c r="L205" s="144">
        <f t="shared" si="167"/>
        <v>107.53406</v>
      </c>
      <c r="M205" s="145">
        <f t="shared" si="167"/>
        <v>108.55</v>
      </c>
      <c r="N205" s="145">
        <f t="shared" si="167"/>
        <v>275.43006000000003</v>
      </c>
      <c r="O205" s="145">
        <f t="shared" si="167"/>
        <v>260.88</v>
      </c>
      <c r="P205" s="144">
        <f t="shared" si="167"/>
        <v>160.66806</v>
      </c>
      <c r="Q205" s="145">
        <f t="shared" si="167"/>
        <v>131.81647000000001</v>
      </c>
      <c r="R205" s="145">
        <f t="shared" si="167"/>
        <v>404.28805999999997</v>
      </c>
      <c r="S205" s="145">
        <f t="shared" si="167"/>
        <v>352.72</v>
      </c>
      <c r="T205" s="144">
        <f t="shared" si="167"/>
        <v>306.48205999999999</v>
      </c>
      <c r="U205" s="145">
        <f t="shared" si="167"/>
        <v>316.20999999999998</v>
      </c>
      <c r="V205" s="145">
        <f t="shared" si="167"/>
        <v>379.95206000000002</v>
      </c>
      <c r="W205" s="145">
        <f t="shared" si="167"/>
        <v>362</v>
      </c>
      <c r="X205" s="144">
        <f t="shared" si="167"/>
        <v>192.69406000000001</v>
      </c>
      <c r="Y205" s="145">
        <f t="shared" si="167"/>
        <v>155.37</v>
      </c>
      <c r="Z205" s="145">
        <f t="shared" si="167"/>
        <v>178.84729999999999</v>
      </c>
      <c r="AA205" s="145">
        <f t="shared" si="167"/>
        <v>231.4</v>
      </c>
      <c r="AB205" s="144">
        <f t="shared" si="167"/>
        <v>114.81394</v>
      </c>
      <c r="AC205" s="145">
        <f t="shared" si="167"/>
        <v>126.19</v>
      </c>
      <c r="AD205" s="145">
        <f t="shared" si="167"/>
        <v>263.65098</v>
      </c>
      <c r="AE205" s="145">
        <f t="shared" si="167"/>
        <v>0</v>
      </c>
      <c r="AF205" s="74"/>
      <c r="AH205" s="38"/>
    </row>
    <row r="206" spans="1:34" s="37" customFormat="1" x14ac:dyDescent="0.25">
      <c r="A206" s="76" t="s">
        <v>103</v>
      </c>
      <c r="B206" s="146">
        <f t="shared" ref="B206:E206" si="168">B199</f>
        <v>0</v>
      </c>
      <c r="C206" s="147">
        <f t="shared" si="168"/>
        <v>0</v>
      </c>
      <c r="D206" s="147">
        <f t="shared" si="168"/>
        <v>0</v>
      </c>
      <c r="E206" s="147">
        <f t="shared" si="168"/>
        <v>0</v>
      </c>
      <c r="F206" s="79" t="e">
        <f t="shared" si="146"/>
        <v>#DIV/0!</v>
      </c>
      <c r="G206" s="79" t="e">
        <f t="shared" si="147"/>
        <v>#DIV/0!</v>
      </c>
      <c r="H206" s="146">
        <f t="shared" ref="H206:AE206" si="169">H199</f>
        <v>0</v>
      </c>
      <c r="I206" s="147">
        <f t="shared" si="169"/>
        <v>0</v>
      </c>
      <c r="J206" s="147">
        <f t="shared" si="169"/>
        <v>0</v>
      </c>
      <c r="K206" s="147">
        <f t="shared" si="169"/>
        <v>0</v>
      </c>
      <c r="L206" s="146">
        <f t="shared" si="169"/>
        <v>0</v>
      </c>
      <c r="M206" s="147">
        <f t="shared" si="169"/>
        <v>0</v>
      </c>
      <c r="N206" s="147">
        <f t="shared" si="169"/>
        <v>0</v>
      </c>
      <c r="O206" s="147">
        <f t="shared" si="169"/>
        <v>0</v>
      </c>
      <c r="P206" s="146">
        <f t="shared" si="169"/>
        <v>0</v>
      </c>
      <c r="Q206" s="147">
        <f t="shared" si="169"/>
        <v>0</v>
      </c>
      <c r="R206" s="147">
        <f t="shared" si="169"/>
        <v>0</v>
      </c>
      <c r="S206" s="147">
        <f t="shared" si="169"/>
        <v>0</v>
      </c>
      <c r="T206" s="146">
        <f t="shared" si="169"/>
        <v>0</v>
      </c>
      <c r="U206" s="147">
        <f t="shared" si="169"/>
        <v>0</v>
      </c>
      <c r="V206" s="147">
        <f t="shared" si="169"/>
        <v>0</v>
      </c>
      <c r="W206" s="147">
        <f t="shared" si="169"/>
        <v>0</v>
      </c>
      <c r="X206" s="146">
        <f t="shared" si="169"/>
        <v>0</v>
      </c>
      <c r="Y206" s="147">
        <f t="shared" si="169"/>
        <v>0</v>
      </c>
      <c r="Z206" s="147">
        <f t="shared" si="169"/>
        <v>0</v>
      </c>
      <c r="AA206" s="147">
        <f t="shared" si="169"/>
        <v>0</v>
      </c>
      <c r="AB206" s="146">
        <f t="shared" si="169"/>
        <v>0</v>
      </c>
      <c r="AC206" s="147">
        <f t="shared" si="169"/>
        <v>0</v>
      </c>
      <c r="AD206" s="147">
        <f t="shared" si="169"/>
        <v>0</v>
      </c>
      <c r="AE206" s="147">
        <f t="shared" si="169"/>
        <v>0</v>
      </c>
      <c r="AF206" s="78"/>
      <c r="AH206" s="38"/>
    </row>
    <row r="207" spans="1:34" s="37" customFormat="1" ht="33" x14ac:dyDescent="0.25">
      <c r="A207" s="218" t="s">
        <v>153</v>
      </c>
      <c r="B207" s="161">
        <f t="shared" ref="B207:E207" si="170">B200</f>
        <v>0</v>
      </c>
      <c r="C207" s="161">
        <f t="shared" si="170"/>
        <v>0</v>
      </c>
      <c r="D207" s="161">
        <f t="shared" si="170"/>
        <v>0</v>
      </c>
      <c r="E207" s="161">
        <f t="shared" si="170"/>
        <v>0</v>
      </c>
      <c r="F207" s="81" t="e">
        <f t="shared" si="146"/>
        <v>#DIV/0!</v>
      </c>
      <c r="G207" s="81" t="e">
        <f t="shared" si="147"/>
        <v>#DIV/0!</v>
      </c>
      <c r="H207" s="161">
        <f t="shared" ref="H207:AE207" si="171">H200</f>
        <v>0</v>
      </c>
      <c r="I207" s="161">
        <f t="shared" si="171"/>
        <v>0</v>
      </c>
      <c r="J207" s="161">
        <f t="shared" si="171"/>
        <v>0</v>
      </c>
      <c r="K207" s="161">
        <f t="shared" si="171"/>
        <v>0</v>
      </c>
      <c r="L207" s="161">
        <f t="shared" si="171"/>
        <v>0</v>
      </c>
      <c r="M207" s="161">
        <f t="shared" si="171"/>
        <v>0</v>
      </c>
      <c r="N207" s="161">
        <f t="shared" si="171"/>
        <v>0</v>
      </c>
      <c r="O207" s="161">
        <f t="shared" si="171"/>
        <v>0</v>
      </c>
      <c r="P207" s="161">
        <f t="shared" si="171"/>
        <v>0</v>
      </c>
      <c r="Q207" s="161">
        <f t="shared" si="171"/>
        <v>0</v>
      </c>
      <c r="R207" s="161">
        <f t="shared" si="171"/>
        <v>0</v>
      </c>
      <c r="S207" s="161">
        <f t="shared" si="171"/>
        <v>0</v>
      </c>
      <c r="T207" s="161">
        <f t="shared" si="171"/>
        <v>0</v>
      </c>
      <c r="U207" s="161">
        <f t="shared" si="171"/>
        <v>0</v>
      </c>
      <c r="V207" s="161">
        <f t="shared" si="171"/>
        <v>0</v>
      </c>
      <c r="W207" s="161">
        <f t="shared" si="171"/>
        <v>0</v>
      </c>
      <c r="X207" s="161">
        <f t="shared" si="171"/>
        <v>0</v>
      </c>
      <c r="Y207" s="161">
        <f t="shared" si="171"/>
        <v>0</v>
      </c>
      <c r="Z207" s="161">
        <f t="shared" si="171"/>
        <v>0</v>
      </c>
      <c r="AA207" s="161">
        <f t="shared" si="171"/>
        <v>0</v>
      </c>
      <c r="AB207" s="161">
        <f t="shared" si="171"/>
        <v>0</v>
      </c>
      <c r="AC207" s="161">
        <f t="shared" si="171"/>
        <v>0</v>
      </c>
      <c r="AD207" s="161">
        <f t="shared" si="171"/>
        <v>0</v>
      </c>
      <c r="AE207" s="161">
        <f t="shared" si="171"/>
        <v>0</v>
      </c>
      <c r="AF207" s="217"/>
      <c r="AH207" s="38"/>
    </row>
    <row r="208" spans="1:34" s="37" customFormat="1" x14ac:dyDescent="0.25">
      <c r="A208" s="103" t="s">
        <v>154</v>
      </c>
      <c r="B208" s="161">
        <f t="shared" ref="B208:E208" si="172">B201</f>
        <v>0</v>
      </c>
      <c r="C208" s="161">
        <f t="shared" si="172"/>
        <v>0</v>
      </c>
      <c r="D208" s="161">
        <f t="shared" si="172"/>
        <v>0</v>
      </c>
      <c r="E208" s="161">
        <f t="shared" si="172"/>
        <v>0</v>
      </c>
      <c r="F208" s="81" t="e">
        <f t="shared" si="146"/>
        <v>#DIV/0!</v>
      </c>
      <c r="G208" s="81" t="e">
        <f t="shared" si="147"/>
        <v>#DIV/0!</v>
      </c>
      <c r="H208" s="161">
        <f t="shared" ref="H208:AE208" si="173">H201</f>
        <v>0</v>
      </c>
      <c r="I208" s="161">
        <f t="shared" si="173"/>
        <v>0</v>
      </c>
      <c r="J208" s="161">
        <f t="shared" si="173"/>
        <v>0</v>
      </c>
      <c r="K208" s="161">
        <f t="shared" si="173"/>
        <v>0</v>
      </c>
      <c r="L208" s="161">
        <f t="shared" si="173"/>
        <v>0</v>
      </c>
      <c r="M208" s="161">
        <f t="shared" si="173"/>
        <v>0</v>
      </c>
      <c r="N208" s="161">
        <f t="shared" si="173"/>
        <v>0</v>
      </c>
      <c r="O208" s="161">
        <f t="shared" si="173"/>
        <v>0</v>
      </c>
      <c r="P208" s="161">
        <f t="shared" si="173"/>
        <v>0</v>
      </c>
      <c r="Q208" s="161">
        <f t="shared" si="173"/>
        <v>0</v>
      </c>
      <c r="R208" s="161">
        <f t="shared" si="173"/>
        <v>0</v>
      </c>
      <c r="S208" s="161">
        <f t="shared" si="173"/>
        <v>0</v>
      </c>
      <c r="T208" s="161">
        <f t="shared" si="173"/>
        <v>0</v>
      </c>
      <c r="U208" s="161">
        <f t="shared" si="173"/>
        <v>0</v>
      </c>
      <c r="V208" s="161">
        <f t="shared" si="173"/>
        <v>0</v>
      </c>
      <c r="W208" s="161">
        <f t="shared" si="173"/>
        <v>0</v>
      </c>
      <c r="X208" s="161">
        <f t="shared" si="173"/>
        <v>0</v>
      </c>
      <c r="Y208" s="161">
        <f t="shared" si="173"/>
        <v>0</v>
      </c>
      <c r="Z208" s="161">
        <f t="shared" si="173"/>
        <v>0</v>
      </c>
      <c r="AA208" s="161">
        <f t="shared" si="173"/>
        <v>0</v>
      </c>
      <c r="AB208" s="161">
        <f t="shared" si="173"/>
        <v>0</v>
      </c>
      <c r="AC208" s="161">
        <f t="shared" si="173"/>
        <v>0</v>
      </c>
      <c r="AD208" s="161">
        <f t="shared" si="173"/>
        <v>0</v>
      </c>
      <c r="AE208" s="161">
        <f t="shared" si="173"/>
        <v>0</v>
      </c>
      <c r="AF208" s="217"/>
      <c r="AH208" s="38"/>
    </row>
    <row r="209" spans="1:34" s="37" customFormat="1" ht="63" customHeight="1" x14ac:dyDescent="0.25">
      <c r="A209" s="86" t="s">
        <v>112</v>
      </c>
      <c r="B209" s="168">
        <f>B211</f>
        <v>72.69</v>
      </c>
      <c r="C209" s="168">
        <f t="shared" ref="C209:AD209" si="174">C211</f>
        <v>72.69</v>
      </c>
      <c r="D209" s="168">
        <f t="shared" si="174"/>
        <v>72.69</v>
      </c>
      <c r="E209" s="168">
        <f t="shared" si="174"/>
        <v>72.69</v>
      </c>
      <c r="F209" s="137">
        <f t="shared" ref="F209:F234" si="175">E209/B209</f>
        <v>1</v>
      </c>
      <c r="G209" s="137">
        <f t="shared" ref="G209:G234" si="176">E209/C209</f>
        <v>1</v>
      </c>
      <c r="H209" s="168">
        <f>H211</f>
        <v>0</v>
      </c>
      <c r="I209" s="168">
        <f t="shared" si="174"/>
        <v>0</v>
      </c>
      <c r="J209" s="168">
        <f t="shared" si="174"/>
        <v>0</v>
      </c>
      <c r="K209" s="168">
        <f t="shared" si="174"/>
        <v>0</v>
      </c>
      <c r="L209" s="168">
        <f t="shared" si="174"/>
        <v>0</v>
      </c>
      <c r="M209" s="168">
        <f t="shared" si="174"/>
        <v>0</v>
      </c>
      <c r="N209" s="168">
        <f t="shared" si="174"/>
        <v>0</v>
      </c>
      <c r="O209" s="168">
        <f t="shared" si="174"/>
        <v>0</v>
      </c>
      <c r="P209" s="168">
        <f t="shared" si="174"/>
        <v>0</v>
      </c>
      <c r="Q209" s="168">
        <f t="shared" si="174"/>
        <v>0</v>
      </c>
      <c r="R209" s="168">
        <f t="shared" si="174"/>
        <v>0</v>
      </c>
      <c r="S209" s="168">
        <f t="shared" si="174"/>
        <v>0</v>
      </c>
      <c r="T209" s="168">
        <f t="shared" si="174"/>
        <v>0</v>
      </c>
      <c r="U209" s="168">
        <f t="shared" si="174"/>
        <v>0</v>
      </c>
      <c r="V209" s="168">
        <f t="shared" si="174"/>
        <v>72.69</v>
      </c>
      <c r="W209" s="168">
        <f t="shared" si="174"/>
        <v>0</v>
      </c>
      <c r="X209" s="168">
        <f t="shared" si="174"/>
        <v>0</v>
      </c>
      <c r="Y209" s="168">
        <f t="shared" si="174"/>
        <v>72.69</v>
      </c>
      <c r="Z209" s="168">
        <f t="shared" si="174"/>
        <v>0</v>
      </c>
      <c r="AA209" s="168">
        <f t="shared" si="174"/>
        <v>0</v>
      </c>
      <c r="AB209" s="168">
        <f t="shared" si="174"/>
        <v>0</v>
      </c>
      <c r="AC209" s="168">
        <f t="shared" si="174"/>
        <v>0</v>
      </c>
      <c r="AD209" s="168">
        <f t="shared" si="174"/>
        <v>0</v>
      </c>
      <c r="AE209" s="187"/>
      <c r="AF209" s="42"/>
      <c r="AG209" s="108"/>
      <c r="AH209" s="38"/>
    </row>
    <row r="210" spans="1:34" s="37" customFormat="1" ht="87" customHeight="1" x14ac:dyDescent="0.2">
      <c r="A210" s="195" t="s">
        <v>139</v>
      </c>
      <c r="B210" s="196"/>
      <c r="C210" s="196"/>
      <c r="D210" s="196"/>
      <c r="E210" s="196"/>
      <c r="F210" s="197"/>
      <c r="G210" s="197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8"/>
      <c r="AF210" s="199"/>
      <c r="AH210" s="38"/>
    </row>
    <row r="211" spans="1:34" s="64" customFormat="1" ht="99" customHeight="1" x14ac:dyDescent="0.25">
      <c r="A211" s="83" t="s">
        <v>119</v>
      </c>
      <c r="B211" s="166">
        <f>B213</f>
        <v>72.69</v>
      </c>
      <c r="C211" s="166">
        <f t="shared" ref="C211" si="177">C213</f>
        <v>72.69</v>
      </c>
      <c r="D211" s="166">
        <f>D213</f>
        <v>72.69</v>
      </c>
      <c r="E211" s="166">
        <f t="shared" ref="E211" si="178">E213</f>
        <v>72.69</v>
      </c>
      <c r="F211" s="128">
        <f t="shared" si="175"/>
        <v>1</v>
      </c>
      <c r="G211" s="128">
        <f t="shared" si="176"/>
        <v>1</v>
      </c>
      <c r="H211" s="166">
        <f t="shared" ref="H211:AD211" si="179">H213</f>
        <v>0</v>
      </c>
      <c r="I211" s="166">
        <f t="shared" si="179"/>
        <v>0</v>
      </c>
      <c r="J211" s="166">
        <f t="shared" si="179"/>
        <v>0</v>
      </c>
      <c r="K211" s="166">
        <f t="shared" si="179"/>
        <v>0</v>
      </c>
      <c r="L211" s="166">
        <f t="shared" si="179"/>
        <v>0</v>
      </c>
      <c r="M211" s="166">
        <f t="shared" si="179"/>
        <v>0</v>
      </c>
      <c r="N211" s="166">
        <f t="shared" si="179"/>
        <v>0</v>
      </c>
      <c r="O211" s="166">
        <f t="shared" si="179"/>
        <v>0</v>
      </c>
      <c r="P211" s="166">
        <f t="shared" si="179"/>
        <v>0</v>
      </c>
      <c r="Q211" s="166">
        <f t="shared" si="179"/>
        <v>0</v>
      </c>
      <c r="R211" s="166">
        <f t="shared" si="179"/>
        <v>0</v>
      </c>
      <c r="S211" s="166">
        <f t="shared" si="179"/>
        <v>0</v>
      </c>
      <c r="T211" s="166">
        <f t="shared" si="179"/>
        <v>0</v>
      </c>
      <c r="U211" s="166">
        <f t="shared" si="179"/>
        <v>0</v>
      </c>
      <c r="V211" s="166">
        <f t="shared" si="179"/>
        <v>72.69</v>
      </c>
      <c r="W211" s="166">
        <f t="shared" si="179"/>
        <v>0</v>
      </c>
      <c r="X211" s="166">
        <f t="shared" si="179"/>
        <v>0</v>
      </c>
      <c r="Y211" s="166">
        <f t="shared" si="179"/>
        <v>72.69</v>
      </c>
      <c r="Z211" s="166">
        <f t="shared" si="179"/>
        <v>0</v>
      </c>
      <c r="AA211" s="166">
        <f t="shared" si="179"/>
        <v>0</v>
      </c>
      <c r="AB211" s="166">
        <f t="shared" si="179"/>
        <v>0</v>
      </c>
      <c r="AC211" s="166">
        <f t="shared" si="179"/>
        <v>0</v>
      </c>
      <c r="AD211" s="166">
        <f t="shared" si="179"/>
        <v>0</v>
      </c>
      <c r="AE211" s="189"/>
      <c r="AF211" s="191" t="s">
        <v>161</v>
      </c>
      <c r="AG211" s="108"/>
      <c r="AH211" s="65"/>
    </row>
    <row r="212" spans="1:34" s="37" customFormat="1" x14ac:dyDescent="0.25">
      <c r="A212" s="103" t="s">
        <v>152</v>
      </c>
      <c r="B212" s="161">
        <v>0</v>
      </c>
      <c r="C212" s="161">
        <v>0</v>
      </c>
      <c r="D212" s="161">
        <v>0</v>
      </c>
      <c r="E212" s="161">
        <v>0</v>
      </c>
      <c r="F212" s="81" t="e">
        <f>E212/B212</f>
        <v>#DIV/0!</v>
      </c>
      <c r="G212" s="81" t="e">
        <f>E212/C212</f>
        <v>#DIV/0!</v>
      </c>
      <c r="H212" s="161">
        <v>0</v>
      </c>
      <c r="I212" s="161">
        <v>0</v>
      </c>
      <c r="J212" s="161">
        <v>0</v>
      </c>
      <c r="K212" s="161">
        <v>0</v>
      </c>
      <c r="L212" s="161">
        <v>0</v>
      </c>
      <c r="M212" s="161">
        <v>0</v>
      </c>
      <c r="N212" s="161">
        <v>0</v>
      </c>
      <c r="O212" s="161">
        <v>0</v>
      </c>
      <c r="P212" s="161">
        <v>0</v>
      </c>
      <c r="Q212" s="161">
        <v>0</v>
      </c>
      <c r="R212" s="161">
        <v>0</v>
      </c>
      <c r="S212" s="161">
        <v>0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>
        <v>0</v>
      </c>
      <c r="Z212" s="161">
        <v>0</v>
      </c>
      <c r="AA212" s="161">
        <v>0</v>
      </c>
      <c r="AB212" s="161">
        <v>0</v>
      </c>
      <c r="AC212" s="161">
        <v>0</v>
      </c>
      <c r="AD212" s="161">
        <v>0</v>
      </c>
      <c r="AE212" s="161">
        <v>0</v>
      </c>
      <c r="AF212" s="216"/>
      <c r="AH212" s="38"/>
    </row>
    <row r="213" spans="1:34" s="64" customFormat="1" ht="24.75" customHeight="1" x14ac:dyDescent="0.25">
      <c r="A213" s="87" t="s">
        <v>102</v>
      </c>
      <c r="B213" s="144">
        <f>H213+J213+L213+N213+P213+R213+T213+V213+X213+Z213+AB213+AD213</f>
        <v>72.69</v>
      </c>
      <c r="C213" s="145">
        <f>H213+J213+L213+N213+P213+R213+T213+V213+X213+Z213+AB213+AD213</f>
        <v>72.69</v>
      </c>
      <c r="D213" s="145">
        <f>72690/1000</f>
        <v>72.69</v>
      </c>
      <c r="E213" s="145">
        <f>I213+K213+M213+O213+Q213+S213+U213+W213+Y213+AA213+AC213+AE213</f>
        <v>72.69</v>
      </c>
      <c r="F213" s="75">
        <f t="shared" si="175"/>
        <v>1</v>
      </c>
      <c r="G213" s="75">
        <f t="shared" si="176"/>
        <v>1</v>
      </c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>
        <f>72690/1000</f>
        <v>72.69</v>
      </c>
      <c r="W213" s="145"/>
      <c r="X213" s="145"/>
      <c r="Y213" s="145">
        <v>72.69</v>
      </c>
      <c r="Z213" s="145"/>
      <c r="AA213" s="145"/>
      <c r="AB213" s="145"/>
      <c r="AC213" s="145"/>
      <c r="AD213" s="145"/>
      <c r="AE213" s="145"/>
      <c r="AF213" s="66"/>
      <c r="AG213" s="108"/>
      <c r="AH213" s="65"/>
    </row>
    <row r="214" spans="1:34" s="37" customFormat="1" x14ac:dyDescent="0.25">
      <c r="A214" s="76" t="s">
        <v>103</v>
      </c>
      <c r="B214" s="146">
        <f>H214+J214+L214+N214+P214+R214+T214+V214+X214+Z214+AB214+AD214</f>
        <v>0</v>
      </c>
      <c r="C214" s="147">
        <f>C260+C328</f>
        <v>0</v>
      </c>
      <c r="D214" s="147">
        <f>D260+D328</f>
        <v>0</v>
      </c>
      <c r="E214" s="147">
        <f>E260+E328</f>
        <v>0</v>
      </c>
      <c r="F214" s="79" t="e">
        <f t="shared" ref="F214:F230" si="180">E214/B214</f>
        <v>#DIV/0!</v>
      </c>
      <c r="G214" s="79" t="e">
        <f t="shared" ref="G214:G230" si="181">E214/C214</f>
        <v>#DIV/0!</v>
      </c>
      <c r="H214" s="147">
        <f t="shared" ref="H214:AE214" si="182">H260+H328</f>
        <v>0</v>
      </c>
      <c r="I214" s="147">
        <f t="shared" si="182"/>
        <v>0</v>
      </c>
      <c r="J214" s="147">
        <f t="shared" si="182"/>
        <v>0</v>
      </c>
      <c r="K214" s="147">
        <f t="shared" si="182"/>
        <v>0</v>
      </c>
      <c r="L214" s="147">
        <f t="shared" si="182"/>
        <v>0</v>
      </c>
      <c r="M214" s="147">
        <f t="shared" si="182"/>
        <v>0</v>
      </c>
      <c r="N214" s="147">
        <f t="shared" si="182"/>
        <v>0</v>
      </c>
      <c r="O214" s="147">
        <f t="shared" si="182"/>
        <v>0</v>
      </c>
      <c r="P214" s="147">
        <f t="shared" si="182"/>
        <v>0</v>
      </c>
      <c r="Q214" s="147">
        <f t="shared" si="182"/>
        <v>0</v>
      </c>
      <c r="R214" s="147">
        <f t="shared" si="182"/>
        <v>0</v>
      </c>
      <c r="S214" s="147">
        <f t="shared" si="182"/>
        <v>0</v>
      </c>
      <c r="T214" s="147">
        <f t="shared" si="182"/>
        <v>0</v>
      </c>
      <c r="U214" s="147">
        <f t="shared" si="182"/>
        <v>0</v>
      </c>
      <c r="V214" s="147">
        <f t="shared" si="182"/>
        <v>0</v>
      </c>
      <c r="W214" s="147">
        <f t="shared" si="182"/>
        <v>0</v>
      </c>
      <c r="X214" s="147">
        <f t="shared" si="182"/>
        <v>0</v>
      </c>
      <c r="Y214" s="147">
        <f t="shared" si="182"/>
        <v>0</v>
      </c>
      <c r="Z214" s="147">
        <f t="shared" si="182"/>
        <v>0</v>
      </c>
      <c r="AA214" s="147">
        <f t="shared" si="182"/>
        <v>0</v>
      </c>
      <c r="AB214" s="147">
        <f t="shared" si="182"/>
        <v>0</v>
      </c>
      <c r="AC214" s="147">
        <f t="shared" si="182"/>
        <v>0</v>
      </c>
      <c r="AD214" s="147">
        <f t="shared" si="182"/>
        <v>0</v>
      </c>
      <c r="AE214" s="147">
        <f t="shared" si="182"/>
        <v>0</v>
      </c>
      <c r="AF214" s="78"/>
      <c r="AH214" s="38"/>
    </row>
    <row r="215" spans="1:34" s="37" customFormat="1" ht="33" x14ac:dyDescent="0.25">
      <c r="A215" s="218" t="s">
        <v>153</v>
      </c>
      <c r="B215" s="161">
        <v>0</v>
      </c>
      <c r="C215" s="162">
        <v>0</v>
      </c>
      <c r="D215" s="162">
        <v>0</v>
      </c>
      <c r="E215" s="162">
        <v>0</v>
      </c>
      <c r="F215" s="81" t="e">
        <f t="shared" si="180"/>
        <v>#DIV/0!</v>
      </c>
      <c r="G215" s="81" t="e">
        <f t="shared" si="181"/>
        <v>#DIV/0!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0</v>
      </c>
      <c r="Q215" s="161">
        <v>0</v>
      </c>
      <c r="R215" s="161">
        <v>0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  <c r="AD215" s="161">
        <v>0</v>
      </c>
      <c r="AE215" s="161">
        <v>0</v>
      </c>
      <c r="AF215" s="217"/>
      <c r="AH215" s="38"/>
    </row>
    <row r="216" spans="1:34" s="37" customFormat="1" x14ac:dyDescent="0.25">
      <c r="A216" s="103" t="s">
        <v>154</v>
      </c>
      <c r="B216" s="161">
        <v>0</v>
      </c>
      <c r="C216" s="162">
        <v>0</v>
      </c>
      <c r="D216" s="162">
        <v>0</v>
      </c>
      <c r="E216" s="162">
        <v>0</v>
      </c>
      <c r="F216" s="81" t="e">
        <f t="shared" si="180"/>
        <v>#DIV/0!</v>
      </c>
      <c r="G216" s="81" t="e">
        <f t="shared" si="181"/>
        <v>#DIV/0!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  <c r="O216" s="161">
        <v>0</v>
      </c>
      <c r="P216" s="161">
        <v>0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  <c r="AD216" s="161">
        <v>0</v>
      </c>
      <c r="AE216" s="161">
        <v>0</v>
      </c>
      <c r="AF216" s="217"/>
      <c r="AH216" s="38"/>
    </row>
    <row r="217" spans="1:34" s="64" customFormat="1" ht="35.25" customHeight="1" x14ac:dyDescent="0.25">
      <c r="A217" s="68" t="s">
        <v>24</v>
      </c>
      <c r="B217" s="142">
        <f>B218</f>
        <v>72.69</v>
      </c>
      <c r="C217" s="142">
        <f t="shared" ref="C217:AD217" si="183">C218</f>
        <v>72.69</v>
      </c>
      <c r="D217" s="142">
        <f t="shared" si="183"/>
        <v>72.69</v>
      </c>
      <c r="E217" s="142">
        <f t="shared" si="183"/>
        <v>72.69</v>
      </c>
      <c r="F217" s="128">
        <f t="shared" si="180"/>
        <v>1</v>
      </c>
      <c r="G217" s="128">
        <f t="shared" si="181"/>
        <v>1</v>
      </c>
      <c r="H217" s="142">
        <f>H218</f>
        <v>0</v>
      </c>
      <c r="I217" s="142">
        <f t="shared" si="183"/>
        <v>0</v>
      </c>
      <c r="J217" s="142">
        <f>J218</f>
        <v>0</v>
      </c>
      <c r="K217" s="142">
        <f t="shared" si="183"/>
        <v>0</v>
      </c>
      <c r="L217" s="142">
        <f t="shared" si="183"/>
        <v>0</v>
      </c>
      <c r="M217" s="142">
        <f t="shared" si="183"/>
        <v>0</v>
      </c>
      <c r="N217" s="142">
        <f t="shared" si="183"/>
        <v>0</v>
      </c>
      <c r="O217" s="142">
        <f t="shared" si="183"/>
        <v>0</v>
      </c>
      <c r="P217" s="142">
        <f>P218</f>
        <v>0</v>
      </c>
      <c r="Q217" s="142">
        <f t="shared" si="183"/>
        <v>0</v>
      </c>
      <c r="R217" s="142">
        <f t="shared" si="183"/>
        <v>0</v>
      </c>
      <c r="S217" s="142">
        <f t="shared" si="183"/>
        <v>0</v>
      </c>
      <c r="T217" s="142">
        <f>T218</f>
        <v>0</v>
      </c>
      <c r="U217" s="142">
        <f t="shared" si="183"/>
        <v>0</v>
      </c>
      <c r="V217" s="142">
        <f t="shared" si="183"/>
        <v>72.69</v>
      </c>
      <c r="W217" s="142">
        <f t="shared" si="183"/>
        <v>0</v>
      </c>
      <c r="X217" s="142">
        <f>X218</f>
        <v>0</v>
      </c>
      <c r="Y217" s="142">
        <f t="shared" si="183"/>
        <v>72.69</v>
      </c>
      <c r="Z217" s="142">
        <f t="shared" si="183"/>
        <v>0</v>
      </c>
      <c r="AA217" s="142">
        <f t="shared" si="183"/>
        <v>0</v>
      </c>
      <c r="AB217" s="142">
        <f t="shared" si="183"/>
        <v>0</v>
      </c>
      <c r="AC217" s="142">
        <f t="shared" si="183"/>
        <v>0</v>
      </c>
      <c r="AD217" s="142">
        <f t="shared" si="183"/>
        <v>0</v>
      </c>
      <c r="AE217" s="169"/>
      <c r="AF217" s="63"/>
      <c r="AH217" s="65"/>
    </row>
    <row r="218" spans="1:34" s="37" customFormat="1" x14ac:dyDescent="0.25">
      <c r="A218" s="89" t="s">
        <v>25</v>
      </c>
      <c r="B218" s="143">
        <f>B220+B221</f>
        <v>72.69</v>
      </c>
      <c r="C218" s="143">
        <f>C220+C221</f>
        <v>72.69</v>
      </c>
      <c r="D218" s="143">
        <f t="shared" ref="D218" si="184">D220+D221</f>
        <v>72.69</v>
      </c>
      <c r="E218" s="143">
        <f>E220+E221</f>
        <v>72.69</v>
      </c>
      <c r="F218" s="90">
        <f t="shared" si="180"/>
        <v>1</v>
      </c>
      <c r="G218" s="90">
        <f t="shared" si="181"/>
        <v>1</v>
      </c>
      <c r="H218" s="143">
        <f t="shared" ref="H218:AE218" si="185">H220+H221</f>
        <v>0</v>
      </c>
      <c r="I218" s="143">
        <f t="shared" si="185"/>
        <v>0</v>
      </c>
      <c r="J218" s="143">
        <f t="shared" si="185"/>
        <v>0</v>
      </c>
      <c r="K218" s="143">
        <f t="shared" si="185"/>
        <v>0</v>
      </c>
      <c r="L218" s="143">
        <f t="shared" si="185"/>
        <v>0</v>
      </c>
      <c r="M218" s="143">
        <f t="shared" si="185"/>
        <v>0</v>
      </c>
      <c r="N218" s="143">
        <f t="shared" si="185"/>
        <v>0</v>
      </c>
      <c r="O218" s="143">
        <f t="shared" si="185"/>
        <v>0</v>
      </c>
      <c r="P218" s="143">
        <f t="shared" si="185"/>
        <v>0</v>
      </c>
      <c r="Q218" s="143">
        <f t="shared" si="185"/>
        <v>0</v>
      </c>
      <c r="R218" s="143">
        <f t="shared" si="185"/>
        <v>0</v>
      </c>
      <c r="S218" s="143">
        <f t="shared" si="185"/>
        <v>0</v>
      </c>
      <c r="T218" s="143">
        <f t="shared" si="185"/>
        <v>0</v>
      </c>
      <c r="U218" s="143">
        <f t="shared" si="185"/>
        <v>0</v>
      </c>
      <c r="V218" s="143">
        <f t="shared" si="185"/>
        <v>72.69</v>
      </c>
      <c r="W218" s="143">
        <f t="shared" si="185"/>
        <v>0</v>
      </c>
      <c r="X218" s="143">
        <f t="shared" si="185"/>
        <v>0</v>
      </c>
      <c r="Y218" s="143">
        <f t="shared" si="185"/>
        <v>72.69</v>
      </c>
      <c r="Z218" s="143">
        <f t="shared" si="185"/>
        <v>0</v>
      </c>
      <c r="AA218" s="143">
        <f t="shared" si="185"/>
        <v>0</v>
      </c>
      <c r="AB218" s="143">
        <f t="shared" si="185"/>
        <v>0</v>
      </c>
      <c r="AC218" s="143">
        <f t="shared" si="185"/>
        <v>0</v>
      </c>
      <c r="AD218" s="143">
        <f t="shared" si="185"/>
        <v>0</v>
      </c>
      <c r="AE218" s="143">
        <f t="shared" si="185"/>
        <v>0</v>
      </c>
      <c r="AF218" s="91"/>
      <c r="AH218" s="38"/>
    </row>
    <row r="219" spans="1:34" s="37" customFormat="1" x14ac:dyDescent="0.25">
      <c r="A219" s="103" t="s">
        <v>152</v>
      </c>
      <c r="B219" s="161">
        <f>B226</f>
        <v>0</v>
      </c>
      <c r="C219" s="161">
        <f t="shared" ref="C219:E219" si="186">C226</f>
        <v>0</v>
      </c>
      <c r="D219" s="161">
        <f t="shared" si="186"/>
        <v>0</v>
      </c>
      <c r="E219" s="161">
        <f t="shared" si="186"/>
        <v>0</v>
      </c>
      <c r="F219" s="81" t="e">
        <f t="shared" si="180"/>
        <v>#DIV/0!</v>
      </c>
      <c r="G219" s="81" t="e">
        <f t="shared" si="181"/>
        <v>#DIV/0!</v>
      </c>
      <c r="H219" s="161">
        <f>H212</f>
        <v>0</v>
      </c>
      <c r="I219" s="161">
        <f t="shared" ref="I219:AE219" si="187">I212</f>
        <v>0</v>
      </c>
      <c r="J219" s="161">
        <f t="shared" si="187"/>
        <v>0</v>
      </c>
      <c r="K219" s="161">
        <f t="shared" si="187"/>
        <v>0</v>
      </c>
      <c r="L219" s="161">
        <f t="shared" si="187"/>
        <v>0</v>
      </c>
      <c r="M219" s="161">
        <f t="shared" si="187"/>
        <v>0</v>
      </c>
      <c r="N219" s="161">
        <f t="shared" si="187"/>
        <v>0</v>
      </c>
      <c r="O219" s="161">
        <f t="shared" si="187"/>
        <v>0</v>
      </c>
      <c r="P219" s="161">
        <f t="shared" si="187"/>
        <v>0</v>
      </c>
      <c r="Q219" s="161">
        <f t="shared" si="187"/>
        <v>0</v>
      </c>
      <c r="R219" s="161">
        <f t="shared" si="187"/>
        <v>0</v>
      </c>
      <c r="S219" s="161">
        <f t="shared" si="187"/>
        <v>0</v>
      </c>
      <c r="T219" s="161">
        <f t="shared" si="187"/>
        <v>0</v>
      </c>
      <c r="U219" s="161">
        <f t="shared" si="187"/>
        <v>0</v>
      </c>
      <c r="V219" s="161">
        <f t="shared" si="187"/>
        <v>0</v>
      </c>
      <c r="W219" s="161">
        <f t="shared" si="187"/>
        <v>0</v>
      </c>
      <c r="X219" s="161">
        <f t="shared" si="187"/>
        <v>0</v>
      </c>
      <c r="Y219" s="161">
        <f t="shared" si="187"/>
        <v>0</v>
      </c>
      <c r="Z219" s="161">
        <f t="shared" si="187"/>
        <v>0</v>
      </c>
      <c r="AA219" s="161">
        <f t="shared" si="187"/>
        <v>0</v>
      </c>
      <c r="AB219" s="161">
        <f t="shared" si="187"/>
        <v>0</v>
      </c>
      <c r="AC219" s="161">
        <f t="shared" si="187"/>
        <v>0</v>
      </c>
      <c r="AD219" s="161">
        <f t="shared" si="187"/>
        <v>0</v>
      </c>
      <c r="AE219" s="161">
        <f t="shared" si="187"/>
        <v>0</v>
      </c>
      <c r="AF219" s="216"/>
      <c r="AH219" s="38"/>
    </row>
    <row r="220" spans="1:34" s="37" customFormat="1" x14ac:dyDescent="0.25">
      <c r="A220" s="72" t="s">
        <v>102</v>
      </c>
      <c r="B220" s="144">
        <f t="shared" ref="B220:E220" si="188">B227</f>
        <v>72.69</v>
      </c>
      <c r="C220" s="145">
        <f>C227</f>
        <v>72.69</v>
      </c>
      <c r="D220" s="145">
        <f t="shared" si="188"/>
        <v>72.69</v>
      </c>
      <c r="E220" s="145">
        <f t="shared" si="188"/>
        <v>72.69</v>
      </c>
      <c r="F220" s="75">
        <f t="shared" si="180"/>
        <v>1</v>
      </c>
      <c r="G220" s="75">
        <f t="shared" si="181"/>
        <v>1</v>
      </c>
      <c r="H220" s="145">
        <f t="shared" ref="H220:AE220" si="189">H213</f>
        <v>0</v>
      </c>
      <c r="I220" s="145">
        <f t="shared" si="189"/>
        <v>0</v>
      </c>
      <c r="J220" s="145">
        <f t="shared" si="189"/>
        <v>0</v>
      </c>
      <c r="K220" s="145">
        <f t="shared" si="189"/>
        <v>0</v>
      </c>
      <c r="L220" s="145">
        <f t="shared" si="189"/>
        <v>0</v>
      </c>
      <c r="M220" s="145">
        <f t="shared" si="189"/>
        <v>0</v>
      </c>
      <c r="N220" s="145">
        <f t="shared" si="189"/>
        <v>0</v>
      </c>
      <c r="O220" s="145">
        <f t="shared" si="189"/>
        <v>0</v>
      </c>
      <c r="P220" s="145">
        <f t="shared" si="189"/>
        <v>0</v>
      </c>
      <c r="Q220" s="145">
        <f t="shared" si="189"/>
        <v>0</v>
      </c>
      <c r="R220" s="145">
        <f t="shared" si="189"/>
        <v>0</v>
      </c>
      <c r="S220" s="145">
        <f t="shared" si="189"/>
        <v>0</v>
      </c>
      <c r="T220" s="145">
        <f t="shared" si="189"/>
        <v>0</v>
      </c>
      <c r="U220" s="145">
        <f t="shared" si="189"/>
        <v>0</v>
      </c>
      <c r="V220" s="145">
        <f t="shared" si="189"/>
        <v>72.69</v>
      </c>
      <c r="W220" s="145">
        <f t="shared" si="189"/>
        <v>0</v>
      </c>
      <c r="X220" s="145">
        <f t="shared" si="189"/>
        <v>0</v>
      </c>
      <c r="Y220" s="145">
        <f t="shared" si="189"/>
        <v>72.69</v>
      </c>
      <c r="Z220" s="145">
        <f t="shared" si="189"/>
        <v>0</v>
      </c>
      <c r="AA220" s="145">
        <f t="shared" si="189"/>
        <v>0</v>
      </c>
      <c r="AB220" s="145">
        <f t="shared" si="189"/>
        <v>0</v>
      </c>
      <c r="AC220" s="145">
        <f t="shared" si="189"/>
        <v>0</v>
      </c>
      <c r="AD220" s="145">
        <f t="shared" si="189"/>
        <v>0</v>
      </c>
      <c r="AE220" s="145">
        <f t="shared" si="189"/>
        <v>0</v>
      </c>
      <c r="AF220" s="74"/>
      <c r="AH220" s="38"/>
    </row>
    <row r="221" spans="1:34" s="37" customFormat="1" x14ac:dyDescent="0.25">
      <c r="A221" s="76" t="s">
        <v>103</v>
      </c>
      <c r="B221" s="146">
        <f t="shared" ref="B221:E221" si="190">B228</f>
        <v>0</v>
      </c>
      <c r="C221" s="147">
        <f t="shared" si="190"/>
        <v>0</v>
      </c>
      <c r="D221" s="147">
        <f t="shared" si="190"/>
        <v>0</v>
      </c>
      <c r="E221" s="147">
        <f t="shared" si="190"/>
        <v>0</v>
      </c>
      <c r="F221" s="79" t="e">
        <f t="shared" si="180"/>
        <v>#DIV/0!</v>
      </c>
      <c r="G221" s="79" t="e">
        <f t="shared" si="181"/>
        <v>#DIV/0!</v>
      </c>
      <c r="H221" s="147">
        <f t="shared" ref="H221:AE221" si="191">H214</f>
        <v>0</v>
      </c>
      <c r="I221" s="147">
        <f t="shared" si="191"/>
        <v>0</v>
      </c>
      <c r="J221" s="147">
        <f t="shared" si="191"/>
        <v>0</v>
      </c>
      <c r="K221" s="147">
        <f t="shared" si="191"/>
        <v>0</v>
      </c>
      <c r="L221" s="147">
        <f t="shared" si="191"/>
        <v>0</v>
      </c>
      <c r="M221" s="147">
        <f t="shared" si="191"/>
        <v>0</v>
      </c>
      <c r="N221" s="147">
        <f t="shared" si="191"/>
        <v>0</v>
      </c>
      <c r="O221" s="147">
        <f t="shared" si="191"/>
        <v>0</v>
      </c>
      <c r="P221" s="147">
        <f t="shared" si="191"/>
        <v>0</v>
      </c>
      <c r="Q221" s="147">
        <f t="shared" si="191"/>
        <v>0</v>
      </c>
      <c r="R221" s="147">
        <f t="shared" si="191"/>
        <v>0</v>
      </c>
      <c r="S221" s="147">
        <f t="shared" si="191"/>
        <v>0</v>
      </c>
      <c r="T221" s="147">
        <f t="shared" si="191"/>
        <v>0</v>
      </c>
      <c r="U221" s="147">
        <f t="shared" si="191"/>
        <v>0</v>
      </c>
      <c r="V221" s="147">
        <f t="shared" si="191"/>
        <v>0</v>
      </c>
      <c r="W221" s="147">
        <f t="shared" si="191"/>
        <v>0</v>
      </c>
      <c r="X221" s="147">
        <f t="shared" si="191"/>
        <v>0</v>
      </c>
      <c r="Y221" s="147">
        <f t="shared" si="191"/>
        <v>0</v>
      </c>
      <c r="Z221" s="147">
        <f t="shared" si="191"/>
        <v>0</v>
      </c>
      <c r="AA221" s="147">
        <f t="shared" si="191"/>
        <v>0</v>
      </c>
      <c r="AB221" s="147">
        <f t="shared" si="191"/>
        <v>0</v>
      </c>
      <c r="AC221" s="147">
        <f t="shared" si="191"/>
        <v>0</v>
      </c>
      <c r="AD221" s="147">
        <f t="shared" si="191"/>
        <v>0</v>
      </c>
      <c r="AE221" s="147">
        <f t="shared" si="191"/>
        <v>0</v>
      </c>
      <c r="AF221" s="78"/>
      <c r="AH221" s="38"/>
    </row>
    <row r="222" spans="1:34" s="37" customFormat="1" ht="33" x14ac:dyDescent="0.25">
      <c r="A222" s="218" t="s">
        <v>153</v>
      </c>
      <c r="B222" s="161">
        <f t="shared" ref="B222:E222" si="192">B229</f>
        <v>0</v>
      </c>
      <c r="C222" s="161">
        <f t="shared" si="192"/>
        <v>0</v>
      </c>
      <c r="D222" s="161">
        <f t="shared" si="192"/>
        <v>0</v>
      </c>
      <c r="E222" s="161">
        <f t="shared" si="192"/>
        <v>0</v>
      </c>
      <c r="F222" s="81" t="e">
        <f t="shared" si="180"/>
        <v>#DIV/0!</v>
      </c>
      <c r="G222" s="81" t="e">
        <f t="shared" si="181"/>
        <v>#DIV/0!</v>
      </c>
      <c r="H222" s="161">
        <f t="shared" ref="H222:AE222" si="193">H215</f>
        <v>0</v>
      </c>
      <c r="I222" s="161">
        <f t="shared" si="193"/>
        <v>0</v>
      </c>
      <c r="J222" s="161">
        <f t="shared" si="193"/>
        <v>0</v>
      </c>
      <c r="K222" s="161">
        <f t="shared" si="193"/>
        <v>0</v>
      </c>
      <c r="L222" s="161">
        <f t="shared" si="193"/>
        <v>0</v>
      </c>
      <c r="M222" s="161">
        <f t="shared" si="193"/>
        <v>0</v>
      </c>
      <c r="N222" s="161">
        <f t="shared" si="193"/>
        <v>0</v>
      </c>
      <c r="O222" s="161">
        <f t="shared" si="193"/>
        <v>0</v>
      </c>
      <c r="P222" s="161">
        <f t="shared" si="193"/>
        <v>0</v>
      </c>
      <c r="Q222" s="161">
        <f t="shared" si="193"/>
        <v>0</v>
      </c>
      <c r="R222" s="161">
        <f t="shared" si="193"/>
        <v>0</v>
      </c>
      <c r="S222" s="161">
        <f t="shared" si="193"/>
        <v>0</v>
      </c>
      <c r="T222" s="161">
        <f t="shared" si="193"/>
        <v>0</v>
      </c>
      <c r="U222" s="161">
        <f t="shared" si="193"/>
        <v>0</v>
      </c>
      <c r="V222" s="161">
        <f t="shared" si="193"/>
        <v>0</v>
      </c>
      <c r="W222" s="161">
        <f t="shared" si="193"/>
        <v>0</v>
      </c>
      <c r="X222" s="161">
        <f t="shared" si="193"/>
        <v>0</v>
      </c>
      <c r="Y222" s="161">
        <f t="shared" si="193"/>
        <v>0</v>
      </c>
      <c r="Z222" s="161">
        <f t="shared" si="193"/>
        <v>0</v>
      </c>
      <c r="AA222" s="161">
        <f t="shared" si="193"/>
        <v>0</v>
      </c>
      <c r="AB222" s="161">
        <f t="shared" si="193"/>
        <v>0</v>
      </c>
      <c r="AC222" s="161">
        <f t="shared" si="193"/>
        <v>0</v>
      </c>
      <c r="AD222" s="161">
        <f t="shared" si="193"/>
        <v>0</v>
      </c>
      <c r="AE222" s="161">
        <f t="shared" si="193"/>
        <v>0</v>
      </c>
      <c r="AF222" s="217"/>
      <c r="AH222" s="38"/>
    </row>
    <row r="223" spans="1:34" s="37" customFormat="1" x14ac:dyDescent="0.25">
      <c r="A223" s="103" t="s">
        <v>154</v>
      </c>
      <c r="B223" s="161">
        <f t="shared" ref="B223:E223" si="194">B230</f>
        <v>0</v>
      </c>
      <c r="C223" s="161">
        <f t="shared" si="194"/>
        <v>0</v>
      </c>
      <c r="D223" s="161">
        <f t="shared" si="194"/>
        <v>0</v>
      </c>
      <c r="E223" s="161">
        <f t="shared" si="194"/>
        <v>0</v>
      </c>
      <c r="F223" s="81" t="e">
        <f t="shared" si="180"/>
        <v>#DIV/0!</v>
      </c>
      <c r="G223" s="81" t="e">
        <f t="shared" si="181"/>
        <v>#DIV/0!</v>
      </c>
      <c r="H223" s="161">
        <f t="shared" ref="H223:AE223" si="195">H216</f>
        <v>0</v>
      </c>
      <c r="I223" s="161">
        <f t="shared" si="195"/>
        <v>0</v>
      </c>
      <c r="J223" s="161">
        <f t="shared" si="195"/>
        <v>0</v>
      </c>
      <c r="K223" s="161">
        <f t="shared" si="195"/>
        <v>0</v>
      </c>
      <c r="L223" s="161">
        <f t="shared" si="195"/>
        <v>0</v>
      </c>
      <c r="M223" s="161">
        <f t="shared" si="195"/>
        <v>0</v>
      </c>
      <c r="N223" s="161">
        <f t="shared" si="195"/>
        <v>0</v>
      </c>
      <c r="O223" s="161">
        <f t="shared" si="195"/>
        <v>0</v>
      </c>
      <c r="P223" s="161">
        <f t="shared" si="195"/>
        <v>0</v>
      </c>
      <c r="Q223" s="161">
        <f t="shared" si="195"/>
        <v>0</v>
      </c>
      <c r="R223" s="161">
        <f t="shared" si="195"/>
        <v>0</v>
      </c>
      <c r="S223" s="161">
        <f t="shared" si="195"/>
        <v>0</v>
      </c>
      <c r="T223" s="161">
        <f t="shared" si="195"/>
        <v>0</v>
      </c>
      <c r="U223" s="161">
        <f t="shared" si="195"/>
        <v>0</v>
      </c>
      <c r="V223" s="161">
        <f t="shared" si="195"/>
        <v>0</v>
      </c>
      <c r="W223" s="161">
        <f t="shared" si="195"/>
        <v>0</v>
      </c>
      <c r="X223" s="161">
        <f t="shared" si="195"/>
        <v>0</v>
      </c>
      <c r="Y223" s="161">
        <f t="shared" si="195"/>
        <v>0</v>
      </c>
      <c r="Z223" s="161">
        <f t="shared" si="195"/>
        <v>0</v>
      </c>
      <c r="AA223" s="161">
        <f t="shared" si="195"/>
        <v>0</v>
      </c>
      <c r="AB223" s="161">
        <f t="shared" si="195"/>
        <v>0</v>
      </c>
      <c r="AC223" s="161">
        <f t="shared" si="195"/>
        <v>0</v>
      </c>
      <c r="AD223" s="161">
        <f t="shared" si="195"/>
        <v>0</v>
      </c>
      <c r="AE223" s="161">
        <f t="shared" si="195"/>
        <v>0</v>
      </c>
      <c r="AF223" s="217"/>
      <c r="AH223" s="38"/>
    </row>
    <row r="224" spans="1:34" s="64" customFormat="1" ht="30" customHeight="1" x14ac:dyDescent="0.25">
      <c r="A224" s="68" t="s">
        <v>52</v>
      </c>
      <c r="B224" s="142">
        <f>B225</f>
        <v>72.69</v>
      </c>
      <c r="C224" s="142">
        <f t="shared" ref="C224:AD224" si="196">C225</f>
        <v>72.69</v>
      </c>
      <c r="D224" s="142">
        <f t="shared" si="196"/>
        <v>72.69</v>
      </c>
      <c r="E224" s="142">
        <f t="shared" si="196"/>
        <v>72.69</v>
      </c>
      <c r="F224" s="128">
        <f t="shared" si="180"/>
        <v>1</v>
      </c>
      <c r="G224" s="128">
        <f t="shared" si="181"/>
        <v>1</v>
      </c>
      <c r="H224" s="142">
        <f>H225</f>
        <v>0</v>
      </c>
      <c r="I224" s="142">
        <f t="shared" si="196"/>
        <v>0</v>
      </c>
      <c r="J224" s="142">
        <f>J225</f>
        <v>0</v>
      </c>
      <c r="K224" s="142">
        <f t="shared" si="196"/>
        <v>0</v>
      </c>
      <c r="L224" s="142">
        <f t="shared" si="196"/>
        <v>0</v>
      </c>
      <c r="M224" s="142">
        <f t="shared" si="196"/>
        <v>0</v>
      </c>
      <c r="N224" s="142">
        <f t="shared" si="196"/>
        <v>0</v>
      </c>
      <c r="O224" s="142">
        <f t="shared" si="196"/>
        <v>0</v>
      </c>
      <c r="P224" s="142">
        <f>P225</f>
        <v>0</v>
      </c>
      <c r="Q224" s="142">
        <f t="shared" si="196"/>
        <v>0</v>
      </c>
      <c r="R224" s="142">
        <f t="shared" si="196"/>
        <v>0</v>
      </c>
      <c r="S224" s="142">
        <f t="shared" si="196"/>
        <v>0</v>
      </c>
      <c r="T224" s="142">
        <f>T225</f>
        <v>0</v>
      </c>
      <c r="U224" s="142">
        <f t="shared" si="196"/>
        <v>0</v>
      </c>
      <c r="V224" s="142">
        <f t="shared" si="196"/>
        <v>72.69</v>
      </c>
      <c r="W224" s="142">
        <f t="shared" si="196"/>
        <v>0</v>
      </c>
      <c r="X224" s="142">
        <f>X225</f>
        <v>0</v>
      </c>
      <c r="Y224" s="142">
        <f t="shared" si="196"/>
        <v>72.69</v>
      </c>
      <c r="Z224" s="142">
        <f t="shared" si="196"/>
        <v>0</v>
      </c>
      <c r="AA224" s="142">
        <f t="shared" si="196"/>
        <v>0</v>
      </c>
      <c r="AB224" s="142">
        <f t="shared" si="196"/>
        <v>0</v>
      </c>
      <c r="AC224" s="142">
        <f t="shared" si="196"/>
        <v>0</v>
      </c>
      <c r="AD224" s="142">
        <f t="shared" si="196"/>
        <v>0</v>
      </c>
      <c r="AE224" s="169"/>
      <c r="AF224" s="63"/>
      <c r="AH224" s="65"/>
    </row>
    <row r="225" spans="1:34" s="37" customFormat="1" x14ac:dyDescent="0.25">
      <c r="A225" s="89" t="s">
        <v>25</v>
      </c>
      <c r="B225" s="143">
        <f>B227+B228</f>
        <v>72.69</v>
      </c>
      <c r="C225" s="143">
        <f>C227+C228</f>
        <v>72.69</v>
      </c>
      <c r="D225" s="143">
        <f t="shared" ref="D225" si="197">D227+D228</f>
        <v>72.69</v>
      </c>
      <c r="E225" s="143">
        <f>E227+E228</f>
        <v>72.69</v>
      </c>
      <c r="F225" s="90">
        <f t="shared" si="180"/>
        <v>1</v>
      </c>
      <c r="G225" s="90">
        <f t="shared" si="181"/>
        <v>1</v>
      </c>
      <c r="H225" s="143">
        <f t="shared" ref="H225:AE225" si="198">H227+H228</f>
        <v>0</v>
      </c>
      <c r="I225" s="143">
        <f t="shared" si="198"/>
        <v>0</v>
      </c>
      <c r="J225" s="143">
        <f t="shared" si="198"/>
        <v>0</v>
      </c>
      <c r="K225" s="143">
        <f t="shared" si="198"/>
        <v>0</v>
      </c>
      <c r="L225" s="143">
        <f t="shared" si="198"/>
        <v>0</v>
      </c>
      <c r="M225" s="143">
        <f t="shared" si="198"/>
        <v>0</v>
      </c>
      <c r="N225" s="143">
        <f t="shared" si="198"/>
        <v>0</v>
      </c>
      <c r="O225" s="143">
        <f t="shared" si="198"/>
        <v>0</v>
      </c>
      <c r="P225" s="143">
        <f t="shared" si="198"/>
        <v>0</v>
      </c>
      <c r="Q225" s="143">
        <f t="shared" si="198"/>
        <v>0</v>
      </c>
      <c r="R225" s="143">
        <f t="shared" si="198"/>
        <v>0</v>
      </c>
      <c r="S225" s="143">
        <f t="shared" si="198"/>
        <v>0</v>
      </c>
      <c r="T225" s="143">
        <f t="shared" si="198"/>
        <v>0</v>
      </c>
      <c r="U225" s="143">
        <f t="shared" si="198"/>
        <v>0</v>
      </c>
      <c r="V225" s="143">
        <f t="shared" si="198"/>
        <v>72.69</v>
      </c>
      <c r="W225" s="143">
        <f t="shared" si="198"/>
        <v>0</v>
      </c>
      <c r="X225" s="143">
        <f t="shared" si="198"/>
        <v>0</v>
      </c>
      <c r="Y225" s="143">
        <f t="shared" si="198"/>
        <v>72.69</v>
      </c>
      <c r="Z225" s="143">
        <f t="shared" si="198"/>
        <v>0</v>
      </c>
      <c r="AA225" s="143">
        <f t="shared" si="198"/>
        <v>0</v>
      </c>
      <c r="AB225" s="143">
        <f t="shared" si="198"/>
        <v>0</v>
      </c>
      <c r="AC225" s="143">
        <f t="shared" si="198"/>
        <v>0</v>
      </c>
      <c r="AD225" s="143">
        <f t="shared" si="198"/>
        <v>0</v>
      </c>
      <c r="AE225" s="143">
        <f t="shared" si="198"/>
        <v>0</v>
      </c>
      <c r="AF225" s="91"/>
      <c r="AH225" s="38"/>
    </row>
    <row r="226" spans="1:34" s="37" customFormat="1" x14ac:dyDescent="0.25">
      <c r="A226" s="103" t="s">
        <v>152</v>
      </c>
      <c r="B226" s="161">
        <f>B212</f>
        <v>0</v>
      </c>
      <c r="C226" s="161">
        <f t="shared" ref="C226:E226" si="199">C212</f>
        <v>0</v>
      </c>
      <c r="D226" s="161">
        <f t="shared" si="199"/>
        <v>0</v>
      </c>
      <c r="E226" s="161">
        <f t="shared" si="199"/>
        <v>0</v>
      </c>
      <c r="F226" s="81" t="e">
        <f t="shared" si="180"/>
        <v>#DIV/0!</v>
      </c>
      <c r="G226" s="81" t="e">
        <f t="shared" si="181"/>
        <v>#DIV/0!</v>
      </c>
      <c r="H226" s="161">
        <f>H219</f>
        <v>0</v>
      </c>
      <c r="I226" s="161">
        <f t="shared" ref="I226:AE226" si="200">I219</f>
        <v>0</v>
      </c>
      <c r="J226" s="161">
        <f t="shared" si="200"/>
        <v>0</v>
      </c>
      <c r="K226" s="161">
        <f t="shared" si="200"/>
        <v>0</v>
      </c>
      <c r="L226" s="161">
        <f t="shared" si="200"/>
        <v>0</v>
      </c>
      <c r="M226" s="161">
        <f t="shared" si="200"/>
        <v>0</v>
      </c>
      <c r="N226" s="161">
        <f t="shared" si="200"/>
        <v>0</v>
      </c>
      <c r="O226" s="161">
        <f t="shared" si="200"/>
        <v>0</v>
      </c>
      <c r="P226" s="161">
        <f t="shared" si="200"/>
        <v>0</v>
      </c>
      <c r="Q226" s="161">
        <f t="shared" si="200"/>
        <v>0</v>
      </c>
      <c r="R226" s="161">
        <f t="shared" si="200"/>
        <v>0</v>
      </c>
      <c r="S226" s="161">
        <f t="shared" si="200"/>
        <v>0</v>
      </c>
      <c r="T226" s="161">
        <f t="shared" si="200"/>
        <v>0</v>
      </c>
      <c r="U226" s="161">
        <f t="shared" si="200"/>
        <v>0</v>
      </c>
      <c r="V226" s="161">
        <f t="shared" si="200"/>
        <v>0</v>
      </c>
      <c r="W226" s="161">
        <f t="shared" si="200"/>
        <v>0</v>
      </c>
      <c r="X226" s="161">
        <f t="shared" si="200"/>
        <v>0</v>
      </c>
      <c r="Y226" s="161">
        <f t="shared" si="200"/>
        <v>0</v>
      </c>
      <c r="Z226" s="161">
        <f t="shared" si="200"/>
        <v>0</v>
      </c>
      <c r="AA226" s="161">
        <f t="shared" si="200"/>
        <v>0</v>
      </c>
      <c r="AB226" s="161">
        <f t="shared" si="200"/>
        <v>0</v>
      </c>
      <c r="AC226" s="161">
        <f t="shared" si="200"/>
        <v>0</v>
      </c>
      <c r="AD226" s="161">
        <f t="shared" si="200"/>
        <v>0</v>
      </c>
      <c r="AE226" s="161">
        <f t="shared" si="200"/>
        <v>0</v>
      </c>
      <c r="AF226" s="216"/>
      <c r="AH226" s="38"/>
    </row>
    <row r="227" spans="1:34" s="37" customFormat="1" x14ac:dyDescent="0.25">
      <c r="A227" s="72" t="s">
        <v>102</v>
      </c>
      <c r="B227" s="144">
        <f t="shared" ref="B227:E227" si="201">B213</f>
        <v>72.69</v>
      </c>
      <c r="C227" s="145">
        <f t="shared" si="201"/>
        <v>72.69</v>
      </c>
      <c r="D227" s="145">
        <f t="shared" si="201"/>
        <v>72.69</v>
      </c>
      <c r="E227" s="145">
        <f t="shared" si="201"/>
        <v>72.69</v>
      </c>
      <c r="F227" s="75">
        <f t="shared" si="180"/>
        <v>1</v>
      </c>
      <c r="G227" s="75">
        <f t="shared" si="181"/>
        <v>1</v>
      </c>
      <c r="H227" s="144">
        <f t="shared" ref="H227:AE227" si="202">H220</f>
        <v>0</v>
      </c>
      <c r="I227" s="145">
        <f t="shared" si="202"/>
        <v>0</v>
      </c>
      <c r="J227" s="145">
        <f t="shared" si="202"/>
        <v>0</v>
      </c>
      <c r="K227" s="145">
        <f t="shared" si="202"/>
        <v>0</v>
      </c>
      <c r="L227" s="144">
        <f t="shared" si="202"/>
        <v>0</v>
      </c>
      <c r="M227" s="145">
        <f t="shared" si="202"/>
        <v>0</v>
      </c>
      <c r="N227" s="145">
        <f t="shared" si="202"/>
        <v>0</v>
      </c>
      <c r="O227" s="145">
        <f t="shared" si="202"/>
        <v>0</v>
      </c>
      <c r="P227" s="144">
        <f t="shared" si="202"/>
        <v>0</v>
      </c>
      <c r="Q227" s="145">
        <f t="shared" si="202"/>
        <v>0</v>
      </c>
      <c r="R227" s="145">
        <f t="shared" si="202"/>
        <v>0</v>
      </c>
      <c r="S227" s="145">
        <f t="shared" si="202"/>
        <v>0</v>
      </c>
      <c r="T227" s="144">
        <f t="shared" si="202"/>
        <v>0</v>
      </c>
      <c r="U227" s="145">
        <f t="shared" si="202"/>
        <v>0</v>
      </c>
      <c r="V227" s="145">
        <f t="shared" si="202"/>
        <v>72.69</v>
      </c>
      <c r="W227" s="145">
        <f t="shared" si="202"/>
        <v>0</v>
      </c>
      <c r="X227" s="144">
        <f t="shared" si="202"/>
        <v>0</v>
      </c>
      <c r="Y227" s="145">
        <f t="shared" si="202"/>
        <v>72.69</v>
      </c>
      <c r="Z227" s="145">
        <f t="shared" si="202"/>
        <v>0</v>
      </c>
      <c r="AA227" s="145">
        <f t="shared" si="202"/>
        <v>0</v>
      </c>
      <c r="AB227" s="144">
        <f t="shared" si="202"/>
        <v>0</v>
      </c>
      <c r="AC227" s="145">
        <f t="shared" si="202"/>
        <v>0</v>
      </c>
      <c r="AD227" s="145">
        <f t="shared" si="202"/>
        <v>0</v>
      </c>
      <c r="AE227" s="145">
        <f t="shared" si="202"/>
        <v>0</v>
      </c>
      <c r="AF227" s="74"/>
      <c r="AH227" s="38"/>
    </row>
    <row r="228" spans="1:34" s="37" customFormat="1" x14ac:dyDescent="0.25">
      <c r="A228" s="76" t="s">
        <v>103</v>
      </c>
      <c r="B228" s="146">
        <f t="shared" ref="B228:E228" si="203">B214</f>
        <v>0</v>
      </c>
      <c r="C228" s="147">
        <f t="shared" si="203"/>
        <v>0</v>
      </c>
      <c r="D228" s="147">
        <f t="shared" si="203"/>
        <v>0</v>
      </c>
      <c r="E228" s="147">
        <f t="shared" si="203"/>
        <v>0</v>
      </c>
      <c r="F228" s="79" t="e">
        <f t="shared" si="180"/>
        <v>#DIV/0!</v>
      </c>
      <c r="G228" s="79" t="e">
        <f t="shared" si="181"/>
        <v>#DIV/0!</v>
      </c>
      <c r="H228" s="146">
        <f t="shared" ref="H228:AE228" si="204">H221</f>
        <v>0</v>
      </c>
      <c r="I228" s="147">
        <f t="shared" si="204"/>
        <v>0</v>
      </c>
      <c r="J228" s="147">
        <f t="shared" si="204"/>
        <v>0</v>
      </c>
      <c r="K228" s="147">
        <f t="shared" si="204"/>
        <v>0</v>
      </c>
      <c r="L228" s="146">
        <f t="shared" si="204"/>
        <v>0</v>
      </c>
      <c r="M228" s="147">
        <f t="shared" si="204"/>
        <v>0</v>
      </c>
      <c r="N228" s="147">
        <f t="shared" si="204"/>
        <v>0</v>
      </c>
      <c r="O228" s="147">
        <f t="shared" si="204"/>
        <v>0</v>
      </c>
      <c r="P228" s="146">
        <f t="shared" si="204"/>
        <v>0</v>
      </c>
      <c r="Q228" s="147">
        <f t="shared" si="204"/>
        <v>0</v>
      </c>
      <c r="R228" s="147">
        <f t="shared" si="204"/>
        <v>0</v>
      </c>
      <c r="S228" s="147">
        <f t="shared" si="204"/>
        <v>0</v>
      </c>
      <c r="T228" s="146">
        <f t="shared" si="204"/>
        <v>0</v>
      </c>
      <c r="U228" s="147">
        <f t="shared" si="204"/>
        <v>0</v>
      </c>
      <c r="V228" s="147">
        <f t="shared" si="204"/>
        <v>0</v>
      </c>
      <c r="W228" s="147">
        <f t="shared" si="204"/>
        <v>0</v>
      </c>
      <c r="X228" s="146">
        <f t="shared" si="204"/>
        <v>0</v>
      </c>
      <c r="Y228" s="147">
        <f t="shared" si="204"/>
        <v>0</v>
      </c>
      <c r="Z228" s="147">
        <f t="shared" si="204"/>
        <v>0</v>
      </c>
      <c r="AA228" s="147">
        <f t="shared" si="204"/>
        <v>0</v>
      </c>
      <c r="AB228" s="146">
        <f t="shared" si="204"/>
        <v>0</v>
      </c>
      <c r="AC228" s="147">
        <f t="shared" si="204"/>
        <v>0</v>
      </c>
      <c r="AD228" s="147">
        <f t="shared" si="204"/>
        <v>0</v>
      </c>
      <c r="AE228" s="147">
        <f t="shared" si="204"/>
        <v>0</v>
      </c>
      <c r="AF228" s="78"/>
      <c r="AH228" s="38"/>
    </row>
    <row r="229" spans="1:34" s="37" customFormat="1" ht="33" x14ac:dyDescent="0.25">
      <c r="A229" s="218" t="s">
        <v>153</v>
      </c>
      <c r="B229" s="161">
        <f t="shared" ref="B229:E229" si="205">B215</f>
        <v>0</v>
      </c>
      <c r="C229" s="161">
        <f t="shared" si="205"/>
        <v>0</v>
      </c>
      <c r="D229" s="161">
        <f t="shared" si="205"/>
        <v>0</v>
      </c>
      <c r="E229" s="161">
        <f t="shared" si="205"/>
        <v>0</v>
      </c>
      <c r="F229" s="81" t="e">
        <f t="shared" si="180"/>
        <v>#DIV/0!</v>
      </c>
      <c r="G229" s="81" t="e">
        <f t="shared" si="181"/>
        <v>#DIV/0!</v>
      </c>
      <c r="H229" s="161">
        <f t="shared" ref="H229:AE229" si="206">H222</f>
        <v>0</v>
      </c>
      <c r="I229" s="161">
        <f t="shared" si="206"/>
        <v>0</v>
      </c>
      <c r="J229" s="161">
        <f t="shared" si="206"/>
        <v>0</v>
      </c>
      <c r="K229" s="161">
        <f t="shared" si="206"/>
        <v>0</v>
      </c>
      <c r="L229" s="161">
        <f t="shared" si="206"/>
        <v>0</v>
      </c>
      <c r="M229" s="161">
        <f t="shared" si="206"/>
        <v>0</v>
      </c>
      <c r="N229" s="161">
        <f t="shared" si="206"/>
        <v>0</v>
      </c>
      <c r="O229" s="161">
        <f t="shared" si="206"/>
        <v>0</v>
      </c>
      <c r="P229" s="161">
        <f t="shared" si="206"/>
        <v>0</v>
      </c>
      <c r="Q229" s="161">
        <f t="shared" si="206"/>
        <v>0</v>
      </c>
      <c r="R229" s="161">
        <f t="shared" si="206"/>
        <v>0</v>
      </c>
      <c r="S229" s="161">
        <f t="shared" si="206"/>
        <v>0</v>
      </c>
      <c r="T229" s="161">
        <f t="shared" si="206"/>
        <v>0</v>
      </c>
      <c r="U229" s="161">
        <f t="shared" si="206"/>
        <v>0</v>
      </c>
      <c r="V229" s="161">
        <f t="shared" si="206"/>
        <v>0</v>
      </c>
      <c r="W229" s="161">
        <f t="shared" si="206"/>
        <v>0</v>
      </c>
      <c r="X229" s="161">
        <f t="shared" si="206"/>
        <v>0</v>
      </c>
      <c r="Y229" s="161">
        <f t="shared" si="206"/>
        <v>0</v>
      </c>
      <c r="Z229" s="161">
        <f t="shared" si="206"/>
        <v>0</v>
      </c>
      <c r="AA229" s="161">
        <f t="shared" si="206"/>
        <v>0</v>
      </c>
      <c r="AB229" s="161">
        <f t="shared" si="206"/>
        <v>0</v>
      </c>
      <c r="AC229" s="161">
        <f t="shared" si="206"/>
        <v>0</v>
      </c>
      <c r="AD229" s="161">
        <f t="shared" si="206"/>
        <v>0</v>
      </c>
      <c r="AE229" s="161">
        <f t="shared" si="206"/>
        <v>0</v>
      </c>
      <c r="AF229" s="217"/>
      <c r="AH229" s="38"/>
    </row>
    <row r="230" spans="1:34" s="37" customFormat="1" x14ac:dyDescent="0.25">
      <c r="A230" s="103" t="s">
        <v>154</v>
      </c>
      <c r="B230" s="161">
        <f t="shared" ref="B230:E230" si="207">B216</f>
        <v>0</v>
      </c>
      <c r="C230" s="161">
        <f t="shared" si="207"/>
        <v>0</v>
      </c>
      <c r="D230" s="161">
        <f t="shared" si="207"/>
        <v>0</v>
      </c>
      <c r="E230" s="161">
        <f t="shared" si="207"/>
        <v>0</v>
      </c>
      <c r="F230" s="81" t="e">
        <f t="shared" si="180"/>
        <v>#DIV/0!</v>
      </c>
      <c r="G230" s="81" t="e">
        <f t="shared" si="181"/>
        <v>#DIV/0!</v>
      </c>
      <c r="H230" s="161">
        <f t="shared" ref="H230:AE230" si="208">H223</f>
        <v>0</v>
      </c>
      <c r="I230" s="161">
        <f t="shared" si="208"/>
        <v>0</v>
      </c>
      <c r="J230" s="161">
        <f t="shared" si="208"/>
        <v>0</v>
      </c>
      <c r="K230" s="161">
        <f t="shared" si="208"/>
        <v>0</v>
      </c>
      <c r="L230" s="161">
        <f t="shared" si="208"/>
        <v>0</v>
      </c>
      <c r="M230" s="161">
        <f t="shared" si="208"/>
        <v>0</v>
      </c>
      <c r="N230" s="161">
        <f t="shared" si="208"/>
        <v>0</v>
      </c>
      <c r="O230" s="161">
        <f t="shared" si="208"/>
        <v>0</v>
      </c>
      <c r="P230" s="161">
        <f t="shared" si="208"/>
        <v>0</v>
      </c>
      <c r="Q230" s="161">
        <f t="shared" si="208"/>
        <v>0</v>
      </c>
      <c r="R230" s="161">
        <f t="shared" si="208"/>
        <v>0</v>
      </c>
      <c r="S230" s="161">
        <f t="shared" si="208"/>
        <v>0</v>
      </c>
      <c r="T230" s="161">
        <f t="shared" si="208"/>
        <v>0</v>
      </c>
      <c r="U230" s="161">
        <f t="shared" si="208"/>
        <v>0</v>
      </c>
      <c r="V230" s="161">
        <f t="shared" si="208"/>
        <v>0</v>
      </c>
      <c r="W230" s="161">
        <f t="shared" si="208"/>
        <v>0</v>
      </c>
      <c r="X230" s="161">
        <f t="shared" si="208"/>
        <v>0</v>
      </c>
      <c r="Y230" s="161">
        <f t="shared" si="208"/>
        <v>0</v>
      </c>
      <c r="Z230" s="161">
        <f t="shared" si="208"/>
        <v>0</v>
      </c>
      <c r="AA230" s="161">
        <f t="shared" si="208"/>
        <v>0</v>
      </c>
      <c r="AB230" s="161">
        <f t="shared" si="208"/>
        <v>0</v>
      </c>
      <c r="AC230" s="161">
        <f t="shared" si="208"/>
        <v>0</v>
      </c>
      <c r="AD230" s="161">
        <f t="shared" si="208"/>
        <v>0</v>
      </c>
      <c r="AE230" s="161">
        <f t="shared" si="208"/>
        <v>0</v>
      </c>
      <c r="AF230" s="217"/>
      <c r="AH230" s="38"/>
    </row>
    <row r="231" spans="1:34" s="44" customFormat="1" ht="33.75" customHeight="1" x14ac:dyDescent="0.25">
      <c r="A231" s="223" t="s">
        <v>155</v>
      </c>
      <c r="B231" s="151">
        <f>B233+B234</f>
        <v>24503.741830000003</v>
      </c>
      <c r="C231" s="151">
        <f>C233+C234</f>
        <v>24503.741829999999</v>
      </c>
      <c r="D231" s="151">
        <f>D233+D234</f>
        <v>22235.406660000001</v>
      </c>
      <c r="E231" s="151">
        <f t="shared" ref="E231:AE231" si="209">E233+E234</f>
        <v>21714.488420000001</v>
      </c>
      <c r="F231" s="70">
        <f t="shared" si="175"/>
        <v>0.886170306994293</v>
      </c>
      <c r="G231" s="70">
        <f t="shared" si="176"/>
        <v>0.88617030699429311</v>
      </c>
      <c r="H231" s="151">
        <f t="shared" si="209"/>
        <v>582.2863000000001</v>
      </c>
      <c r="I231" s="151">
        <f t="shared" si="209"/>
        <v>501.40995000000004</v>
      </c>
      <c r="J231" s="151">
        <f t="shared" si="209"/>
        <v>717.86704999999995</v>
      </c>
      <c r="K231" s="151">
        <f t="shared" si="209"/>
        <v>629.26767999999993</v>
      </c>
      <c r="L231" s="151">
        <f t="shared" si="209"/>
        <v>1118.08205</v>
      </c>
      <c r="M231" s="151">
        <f t="shared" si="209"/>
        <v>454.33565000000004</v>
      </c>
      <c r="N231" s="151">
        <f t="shared" si="209"/>
        <v>730.53208000000006</v>
      </c>
      <c r="O231" s="151">
        <f t="shared" si="209"/>
        <v>970.4831999999999</v>
      </c>
      <c r="P231" s="151">
        <f t="shared" si="209"/>
        <v>861.08890999999994</v>
      </c>
      <c r="Q231" s="151">
        <f t="shared" si="209"/>
        <v>562.17778999999996</v>
      </c>
      <c r="R231" s="151">
        <f t="shared" si="209"/>
        <v>5506.7255999999998</v>
      </c>
      <c r="S231" s="151">
        <f t="shared" si="209"/>
        <v>4960.4613099999997</v>
      </c>
      <c r="T231" s="151">
        <f t="shared" si="209"/>
        <v>5449.9906600000004</v>
      </c>
      <c r="U231" s="151">
        <f t="shared" si="209"/>
        <v>4713.3008500000005</v>
      </c>
      <c r="V231" s="151">
        <f t="shared" si="209"/>
        <v>5446.4767499999998</v>
      </c>
      <c r="W231" s="151">
        <f t="shared" si="209"/>
        <v>4705.26656</v>
      </c>
      <c r="X231" s="151">
        <f t="shared" si="209"/>
        <v>1287.24044</v>
      </c>
      <c r="Y231" s="151">
        <f t="shared" si="209"/>
        <v>1653.5173300000001</v>
      </c>
      <c r="Z231" s="151">
        <f t="shared" si="209"/>
        <v>1099.13483</v>
      </c>
      <c r="AA231" s="151">
        <f t="shared" si="209"/>
        <v>934.49788000000001</v>
      </c>
      <c r="AB231" s="151">
        <f t="shared" si="209"/>
        <v>764.38761</v>
      </c>
      <c r="AC231" s="151">
        <f t="shared" si="209"/>
        <v>917.15359000000012</v>
      </c>
      <c r="AD231" s="151">
        <f t="shared" si="209"/>
        <v>939.92955000000006</v>
      </c>
      <c r="AE231" s="151">
        <f t="shared" si="209"/>
        <v>494.80663000000004</v>
      </c>
      <c r="AF231" s="43"/>
      <c r="AG231" s="108"/>
      <c r="AH231" s="45"/>
    </row>
    <row r="232" spans="1:34" s="37" customFormat="1" x14ac:dyDescent="0.25">
      <c r="A232" s="103" t="s">
        <v>152</v>
      </c>
      <c r="B232" s="161">
        <v>0</v>
      </c>
      <c r="C232" s="161">
        <v>0</v>
      </c>
      <c r="D232" s="161">
        <v>0</v>
      </c>
      <c r="E232" s="161">
        <v>0</v>
      </c>
      <c r="F232" s="81" t="e">
        <f>E232/B232</f>
        <v>#DIV/0!</v>
      </c>
      <c r="G232" s="81" t="e">
        <f>E232/C232</f>
        <v>#DIV/0!</v>
      </c>
      <c r="H232" s="161">
        <v>0</v>
      </c>
      <c r="I232" s="161">
        <v>0</v>
      </c>
      <c r="J232" s="161">
        <v>0</v>
      </c>
      <c r="K232" s="161">
        <v>0</v>
      </c>
      <c r="L232" s="161">
        <v>0</v>
      </c>
      <c r="M232" s="161">
        <v>0</v>
      </c>
      <c r="N232" s="161">
        <v>0</v>
      </c>
      <c r="O232" s="161">
        <v>0</v>
      </c>
      <c r="P232" s="161">
        <v>0</v>
      </c>
      <c r="Q232" s="161">
        <v>0</v>
      </c>
      <c r="R232" s="161">
        <v>0</v>
      </c>
      <c r="S232" s="161">
        <v>0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161">
        <v>0</v>
      </c>
      <c r="Z232" s="161">
        <v>0</v>
      </c>
      <c r="AA232" s="161">
        <v>0</v>
      </c>
      <c r="AB232" s="161">
        <v>0</v>
      </c>
      <c r="AC232" s="161">
        <v>0</v>
      </c>
      <c r="AD232" s="161">
        <v>0</v>
      </c>
      <c r="AE232" s="161">
        <v>0</v>
      </c>
      <c r="AF232" s="216"/>
      <c r="AH232" s="38"/>
    </row>
    <row r="233" spans="1:34" s="37" customFormat="1" ht="24" customHeight="1" x14ac:dyDescent="0.25">
      <c r="A233" s="72" t="s">
        <v>102</v>
      </c>
      <c r="B233" s="144">
        <f>B12+B136+B166+B213</f>
        <v>6271.8369999999995</v>
      </c>
      <c r="C233" s="144">
        <f>C12+C136+C166+C213</f>
        <v>6271.8369999999986</v>
      </c>
      <c r="D233" s="144">
        <f>D12+D136+D166+D213</f>
        <v>5951.7577300000003</v>
      </c>
      <c r="E233" s="144">
        <f>E12+E136+E166+E213</f>
        <v>5951.7587799999992</v>
      </c>
      <c r="F233" s="135">
        <f t="shared" si="175"/>
        <v>0.94896579423221616</v>
      </c>
      <c r="G233" s="135">
        <f t="shared" si="176"/>
        <v>0.94896579423221628</v>
      </c>
      <c r="H233" s="144">
        <f t="shared" ref="H233:AE233" si="210">H12+H136+H166+H213</f>
        <v>549.18630000000007</v>
      </c>
      <c r="I233" s="144">
        <f t="shared" si="210"/>
        <v>501.40995000000004</v>
      </c>
      <c r="J233" s="144">
        <f t="shared" si="210"/>
        <v>269.51504999999997</v>
      </c>
      <c r="K233" s="144">
        <f t="shared" si="210"/>
        <v>270.34140000000002</v>
      </c>
      <c r="L233" s="144">
        <f t="shared" si="210"/>
        <v>169.86905000000002</v>
      </c>
      <c r="M233" s="144">
        <f t="shared" si="210"/>
        <v>108.55</v>
      </c>
      <c r="N233" s="144">
        <f t="shared" si="210"/>
        <v>340.44008000000002</v>
      </c>
      <c r="O233" s="144">
        <f t="shared" si="210"/>
        <v>390.23124999999999</v>
      </c>
      <c r="P233" s="144">
        <f t="shared" si="210"/>
        <v>302.79249000000004</v>
      </c>
      <c r="Q233" s="144">
        <f t="shared" si="210"/>
        <v>197.03124000000003</v>
      </c>
      <c r="R233" s="144">
        <f t="shared" si="210"/>
        <v>1051.1730499999999</v>
      </c>
      <c r="S233" s="144">
        <f t="shared" si="210"/>
        <v>955.11699999999996</v>
      </c>
      <c r="T233" s="144">
        <f t="shared" si="210"/>
        <v>620.41705999999999</v>
      </c>
      <c r="U233" s="144">
        <f t="shared" si="210"/>
        <v>445.64532999999994</v>
      </c>
      <c r="V233" s="144">
        <f t="shared" si="210"/>
        <v>1712.3106000000002</v>
      </c>
      <c r="W233" s="144">
        <f t="shared" si="210"/>
        <v>1035.2928000000002</v>
      </c>
      <c r="X233" s="144">
        <f t="shared" si="210"/>
        <v>305.87905000000001</v>
      </c>
      <c r="Y233" s="144">
        <f t="shared" si="210"/>
        <v>908.49518000000012</v>
      </c>
      <c r="Z233" s="144">
        <f t="shared" si="210"/>
        <v>292.03228999999999</v>
      </c>
      <c r="AA233" s="144">
        <f t="shared" si="210"/>
        <v>417.26633000000004</v>
      </c>
      <c r="AB233" s="144">
        <f t="shared" si="210"/>
        <v>267.89370000000002</v>
      </c>
      <c r="AC233" s="144">
        <f t="shared" si="210"/>
        <v>301.57441</v>
      </c>
      <c r="AD233" s="144">
        <f t="shared" si="210"/>
        <v>390.32828000000001</v>
      </c>
      <c r="AE233" s="144">
        <f t="shared" si="210"/>
        <v>202.99389000000002</v>
      </c>
      <c r="AF233" s="73"/>
      <c r="AG233" s="108"/>
      <c r="AH233" s="38"/>
    </row>
    <row r="234" spans="1:34" s="37" customFormat="1" ht="27.75" customHeight="1" x14ac:dyDescent="0.25">
      <c r="A234" s="76" t="s">
        <v>103</v>
      </c>
      <c r="B234" s="146">
        <f>B13+B167+B137</f>
        <v>18231.904830000003</v>
      </c>
      <c r="C234" s="146">
        <f>C13+C167+C137</f>
        <v>18231.904829999999</v>
      </c>
      <c r="D234" s="146">
        <f>D13+D167+D137</f>
        <v>16283.648929999999</v>
      </c>
      <c r="E234" s="146">
        <f>E13+E167+E137</f>
        <v>15762.729640000001</v>
      </c>
      <c r="F234" s="132">
        <f t="shared" si="175"/>
        <v>0.86456844674084443</v>
      </c>
      <c r="G234" s="132">
        <f t="shared" si="176"/>
        <v>0.86456844674084454</v>
      </c>
      <c r="H234" s="146">
        <f t="shared" ref="H234:AE234" si="211">H13+H167+H137</f>
        <v>33.1</v>
      </c>
      <c r="I234" s="146">
        <f t="shared" si="211"/>
        <v>0</v>
      </c>
      <c r="J234" s="146">
        <f t="shared" si="211"/>
        <v>448.35199999999998</v>
      </c>
      <c r="K234" s="146">
        <f t="shared" si="211"/>
        <v>358.92627999999996</v>
      </c>
      <c r="L234" s="146">
        <f t="shared" si="211"/>
        <v>948.21299999999997</v>
      </c>
      <c r="M234" s="146">
        <f t="shared" si="211"/>
        <v>345.78565000000003</v>
      </c>
      <c r="N234" s="146">
        <f t="shared" si="211"/>
        <v>390.09200000000004</v>
      </c>
      <c r="O234" s="146">
        <f t="shared" si="211"/>
        <v>580.25194999999997</v>
      </c>
      <c r="P234" s="146">
        <f t="shared" si="211"/>
        <v>558.2964199999999</v>
      </c>
      <c r="Q234" s="146">
        <f t="shared" si="211"/>
        <v>365.14654999999999</v>
      </c>
      <c r="R234" s="146">
        <f t="shared" si="211"/>
        <v>4455.5525500000003</v>
      </c>
      <c r="S234" s="146">
        <f t="shared" si="211"/>
        <v>4005.34431</v>
      </c>
      <c r="T234" s="146">
        <f t="shared" si="211"/>
        <v>4829.5736000000006</v>
      </c>
      <c r="U234" s="146">
        <f t="shared" si="211"/>
        <v>4267.6555200000003</v>
      </c>
      <c r="V234" s="146">
        <f t="shared" si="211"/>
        <v>3734.16615</v>
      </c>
      <c r="W234" s="146">
        <f t="shared" si="211"/>
        <v>3669.9737600000003</v>
      </c>
      <c r="X234" s="146">
        <f t="shared" si="211"/>
        <v>981.36138999999991</v>
      </c>
      <c r="Y234" s="146">
        <f t="shared" si="211"/>
        <v>745.02215000000001</v>
      </c>
      <c r="Z234" s="146">
        <f t="shared" si="211"/>
        <v>807.10253999999998</v>
      </c>
      <c r="AA234" s="146">
        <f t="shared" si="211"/>
        <v>517.23154999999997</v>
      </c>
      <c r="AB234" s="146">
        <f t="shared" si="211"/>
        <v>496.49390999999997</v>
      </c>
      <c r="AC234" s="146">
        <f t="shared" si="211"/>
        <v>615.57918000000006</v>
      </c>
      <c r="AD234" s="146">
        <f t="shared" si="211"/>
        <v>549.60127</v>
      </c>
      <c r="AE234" s="146">
        <f t="shared" si="211"/>
        <v>291.81274000000002</v>
      </c>
      <c r="AF234" s="77"/>
      <c r="AG234" s="108"/>
      <c r="AH234" s="38"/>
    </row>
    <row r="235" spans="1:34" s="37" customFormat="1" ht="33" x14ac:dyDescent="0.25">
      <c r="A235" s="218" t="s">
        <v>153</v>
      </c>
      <c r="B235" s="161">
        <v>0</v>
      </c>
      <c r="C235" s="162">
        <v>0</v>
      </c>
      <c r="D235" s="162">
        <v>0</v>
      </c>
      <c r="E235" s="162">
        <v>0</v>
      </c>
      <c r="F235" s="81" t="e">
        <f>E235/B235</f>
        <v>#DIV/0!</v>
      </c>
      <c r="G235" s="81" t="e">
        <f>E235/C235</f>
        <v>#DIV/0!</v>
      </c>
      <c r="H235" s="161">
        <v>0</v>
      </c>
      <c r="I235" s="161">
        <v>0</v>
      </c>
      <c r="J235" s="161">
        <v>0</v>
      </c>
      <c r="K235" s="161">
        <v>0</v>
      </c>
      <c r="L235" s="161">
        <v>0</v>
      </c>
      <c r="M235" s="161">
        <v>0</v>
      </c>
      <c r="N235" s="161">
        <v>0</v>
      </c>
      <c r="O235" s="161">
        <v>0</v>
      </c>
      <c r="P235" s="161">
        <v>0</v>
      </c>
      <c r="Q235" s="161">
        <v>0</v>
      </c>
      <c r="R235" s="161">
        <v>0</v>
      </c>
      <c r="S235" s="161">
        <v>0</v>
      </c>
      <c r="T235" s="161">
        <v>0</v>
      </c>
      <c r="U235" s="161">
        <v>0</v>
      </c>
      <c r="V235" s="161">
        <v>0</v>
      </c>
      <c r="W235" s="161">
        <v>0</v>
      </c>
      <c r="X235" s="161">
        <v>0</v>
      </c>
      <c r="Y235" s="161">
        <v>0</v>
      </c>
      <c r="Z235" s="161">
        <v>0</v>
      </c>
      <c r="AA235" s="161">
        <v>0</v>
      </c>
      <c r="AB235" s="161">
        <v>0</v>
      </c>
      <c r="AC235" s="161">
        <v>0</v>
      </c>
      <c r="AD235" s="161">
        <v>0</v>
      </c>
      <c r="AE235" s="161">
        <v>0</v>
      </c>
      <c r="AF235" s="216"/>
      <c r="AH235" s="38"/>
    </row>
    <row r="236" spans="1:34" s="37" customFormat="1" x14ac:dyDescent="0.25">
      <c r="A236" s="103" t="s">
        <v>154</v>
      </c>
      <c r="B236" s="161">
        <v>0</v>
      </c>
      <c r="C236" s="162">
        <v>0</v>
      </c>
      <c r="D236" s="162">
        <v>0</v>
      </c>
      <c r="E236" s="162">
        <v>0</v>
      </c>
      <c r="F236" s="81" t="e">
        <f>E236/B236</f>
        <v>#DIV/0!</v>
      </c>
      <c r="G236" s="81" t="e">
        <f>E236/C236</f>
        <v>#DIV/0!</v>
      </c>
      <c r="H236" s="161">
        <v>0</v>
      </c>
      <c r="I236" s="161">
        <v>0</v>
      </c>
      <c r="J236" s="161">
        <v>0</v>
      </c>
      <c r="K236" s="161">
        <v>0</v>
      </c>
      <c r="L236" s="161">
        <v>0</v>
      </c>
      <c r="M236" s="161">
        <v>0</v>
      </c>
      <c r="N236" s="161">
        <v>0</v>
      </c>
      <c r="O236" s="161">
        <v>0</v>
      </c>
      <c r="P236" s="161">
        <v>0</v>
      </c>
      <c r="Q236" s="161">
        <v>0</v>
      </c>
      <c r="R236" s="161">
        <v>0</v>
      </c>
      <c r="S236" s="161">
        <v>0</v>
      </c>
      <c r="T236" s="161">
        <v>0</v>
      </c>
      <c r="U236" s="161">
        <v>0</v>
      </c>
      <c r="V236" s="161">
        <v>0</v>
      </c>
      <c r="W236" s="161">
        <v>0</v>
      </c>
      <c r="X236" s="161">
        <v>0</v>
      </c>
      <c r="Y236" s="161">
        <v>0</v>
      </c>
      <c r="Z236" s="161">
        <v>0</v>
      </c>
      <c r="AA236" s="161">
        <v>0</v>
      </c>
      <c r="AB236" s="161">
        <v>0</v>
      </c>
      <c r="AC236" s="161">
        <v>0</v>
      </c>
      <c r="AD236" s="161">
        <v>0</v>
      </c>
      <c r="AE236" s="161">
        <v>0</v>
      </c>
      <c r="AF236" s="216"/>
      <c r="AH236" s="38"/>
    </row>
    <row r="237" spans="1:34" s="37" customFormat="1" ht="9.75" customHeight="1" x14ac:dyDescent="0.3">
      <c r="A237" s="46"/>
      <c r="B237" s="46"/>
      <c r="C237" s="47"/>
      <c r="D237" s="47"/>
      <c r="E237" s="48"/>
      <c r="F237" s="48"/>
      <c r="G237" s="48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50"/>
      <c r="AH237" s="38"/>
    </row>
    <row r="238" spans="1:34" s="37" customFormat="1" ht="9.75" customHeight="1" x14ac:dyDescent="0.3">
      <c r="A238" s="46"/>
      <c r="B238" s="46"/>
      <c r="C238" s="47"/>
      <c r="D238" s="47"/>
      <c r="E238" s="48"/>
      <c r="F238" s="48"/>
      <c r="G238" s="48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50"/>
      <c r="AH238" s="38"/>
    </row>
    <row r="239" spans="1:34" s="37" customFormat="1" ht="47.25" customHeight="1" x14ac:dyDescent="0.3">
      <c r="A239" s="220" t="s">
        <v>159</v>
      </c>
      <c r="B239" s="56"/>
      <c r="C239" s="204"/>
      <c r="D239" s="280" t="s">
        <v>160</v>
      </c>
      <c r="E239" s="280"/>
      <c r="F239" s="48"/>
      <c r="G239" s="48"/>
      <c r="H239" s="281"/>
      <c r="I239" s="281"/>
      <c r="J239" s="281"/>
      <c r="K239" s="49"/>
      <c r="L239" s="282" t="s">
        <v>106</v>
      </c>
      <c r="M239" s="282"/>
      <c r="N239" s="282"/>
      <c r="O239" s="282"/>
      <c r="P239" s="221"/>
      <c r="Q239" s="221"/>
      <c r="R239" s="283" t="s">
        <v>156</v>
      </c>
      <c r="S239" s="283"/>
      <c r="T239" s="283"/>
      <c r="U239" s="282" t="s">
        <v>157</v>
      </c>
      <c r="V239" s="282"/>
      <c r="W239" s="282"/>
      <c r="X239" s="282"/>
      <c r="Y239" s="219"/>
      <c r="Z239" s="219"/>
      <c r="AA239" s="219"/>
      <c r="AB239" s="219"/>
      <c r="AC239" s="49"/>
      <c r="AD239" s="49"/>
      <c r="AE239" s="49"/>
      <c r="AF239" s="50"/>
      <c r="AH239" s="38"/>
    </row>
    <row r="240" spans="1:34" ht="33" customHeight="1" x14ac:dyDescent="0.3">
      <c r="B240" s="59" t="s">
        <v>104</v>
      </c>
      <c r="D240" s="277" t="s">
        <v>105</v>
      </c>
      <c r="E240" s="277"/>
      <c r="F240" s="277"/>
      <c r="G240" s="62"/>
      <c r="H240" s="278"/>
      <c r="I240" s="278"/>
      <c r="J240" s="278"/>
      <c r="P240" s="20" t="s">
        <v>104</v>
      </c>
      <c r="Q240" s="284" t="s">
        <v>105</v>
      </c>
      <c r="R240" s="284"/>
      <c r="S240" s="284"/>
      <c r="T240" s="284"/>
      <c r="U240" s="52"/>
      <c r="AA240" s="60"/>
      <c r="AB240" s="60"/>
      <c r="AC240" s="60"/>
      <c r="AD240" s="53"/>
    </row>
    <row r="241" spans="1:43" ht="10.5" customHeight="1" x14ac:dyDescent="0.3">
      <c r="A241" s="52"/>
      <c r="B241" s="51"/>
      <c r="E241" s="52"/>
      <c r="F241" s="53"/>
      <c r="G241" s="53"/>
      <c r="H241" s="54"/>
      <c r="I241" s="55"/>
      <c r="M241" s="34"/>
      <c r="N241" s="34"/>
      <c r="T241" s="20"/>
      <c r="U241" s="52"/>
      <c r="V241" s="20"/>
      <c r="W241" s="20"/>
      <c r="X241" s="20"/>
      <c r="Y241" s="20"/>
      <c r="AA241" s="20"/>
      <c r="AB241" s="34"/>
      <c r="AC241" s="60"/>
      <c r="AD241" s="53"/>
      <c r="AE241" s="20"/>
      <c r="AF241" s="19"/>
      <c r="AG241" s="19"/>
      <c r="AH241" s="57"/>
      <c r="AI241" s="19"/>
      <c r="AJ241" s="19"/>
      <c r="AK241" s="19"/>
      <c r="AL241" s="19"/>
      <c r="AM241" s="19"/>
      <c r="AN241" s="19"/>
      <c r="AO241" s="19"/>
      <c r="AP241" s="19"/>
      <c r="AQ241" s="18"/>
    </row>
    <row r="242" spans="1:43" ht="18.75" customHeight="1" x14ac:dyDescent="0.25">
      <c r="A242" s="279"/>
      <c r="B242" s="279"/>
      <c r="C242" s="279"/>
      <c r="D242" s="279"/>
      <c r="E242" s="279"/>
      <c r="F242" s="279"/>
      <c r="G242" s="279"/>
      <c r="H242" s="279"/>
      <c r="L242" s="279" t="s">
        <v>175</v>
      </c>
      <c r="M242" s="279"/>
      <c r="N242" s="279"/>
      <c r="O242" s="279"/>
      <c r="P242" s="279"/>
      <c r="U242" s="58"/>
      <c r="Y242" s="58"/>
    </row>
    <row r="243" spans="1:43" ht="15.75" customHeight="1" x14ac:dyDescent="0.25">
      <c r="A243" s="279"/>
      <c r="B243" s="279"/>
    </row>
    <row r="244" spans="1:43" ht="7.5" customHeight="1" x14ac:dyDescent="0.25">
      <c r="A244" s="67"/>
    </row>
    <row r="245" spans="1:43" ht="15.75" customHeight="1" x14ac:dyDescent="0.25"/>
    <row r="246" spans="1:43" ht="15.75" customHeight="1" x14ac:dyDescent="0.25"/>
    <row r="247" spans="1:43" ht="15.75" customHeight="1" x14ac:dyDescent="0.25">
      <c r="F247" s="20"/>
      <c r="G247" s="20"/>
    </row>
    <row r="248" spans="1:43" ht="15.75" customHeight="1" x14ac:dyDescent="0.25"/>
  </sheetData>
  <mergeCells count="50">
    <mergeCell ref="AH110:AJ110"/>
    <mergeCell ref="AH120:AJ120"/>
    <mergeCell ref="AH90:AJ90"/>
    <mergeCell ref="AG61:AI61"/>
    <mergeCell ref="AH80:AJ80"/>
    <mergeCell ref="AH100:AJ100"/>
    <mergeCell ref="D240:F240"/>
    <mergeCell ref="H240:J240"/>
    <mergeCell ref="A242:H242"/>
    <mergeCell ref="A243:B243"/>
    <mergeCell ref="AD4:AE4"/>
    <mergeCell ref="D239:E239"/>
    <mergeCell ref="H239:J239"/>
    <mergeCell ref="L239:O239"/>
    <mergeCell ref="R239:T239"/>
    <mergeCell ref="Q240:T240"/>
    <mergeCell ref="U239:X239"/>
    <mergeCell ref="L242:P242"/>
    <mergeCell ref="AF121:AF123"/>
    <mergeCell ref="T4:U4"/>
    <mergeCell ref="V4:W4"/>
    <mergeCell ref="X4:Y4"/>
    <mergeCell ref="Z4:AA4"/>
    <mergeCell ref="AB4:AC4"/>
    <mergeCell ref="AF71:AF80"/>
    <mergeCell ref="AF81:AF90"/>
    <mergeCell ref="AF91:AF100"/>
    <mergeCell ref="AF101:AF110"/>
    <mergeCell ref="AF111:AF120"/>
    <mergeCell ref="AF16:AF20"/>
    <mergeCell ref="AF23:AF30"/>
    <mergeCell ref="AF31:AF36"/>
    <mergeCell ref="AF39:AF49"/>
    <mergeCell ref="AF61:AF70"/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</mergeCells>
  <printOptions horizontalCentered="1"/>
  <pageMargins left="0" right="0" top="0.98425196850393704" bottom="0.15748031496062992" header="0" footer="0"/>
  <pageSetup paperSize="9" scale="49" fitToHeight="0" orientation="landscape" r:id="rId1"/>
  <rowBreaks count="2" manualBreakCount="2">
    <brk id="91" max="31" man="1"/>
    <brk id="122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2019 </vt:lpstr>
      <vt:lpstr>'сетевой 2019 '!Заголовки_для_печати</vt:lpstr>
      <vt:lpstr>'сетевой 2019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2020-02-11T10:07:07Z</dcterms:modified>
</cp:coreProperties>
</file>