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6 июнь\"/>
    </mc:Choice>
  </mc:AlternateContent>
  <bookViews>
    <workbookView xWindow="0" yWindow="0" windowWidth="28800" windowHeight="11835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1" l="1"/>
  <c r="U14" i="1"/>
  <c r="AF31" i="1" l="1"/>
  <c r="V31" i="1"/>
  <c r="P31" i="1"/>
  <c r="N31" i="1"/>
  <c r="L31" i="1"/>
  <c r="J31" i="1"/>
  <c r="AF22" i="1"/>
  <c r="AD22" i="1"/>
  <c r="AB22" i="1"/>
  <c r="Z22" i="1"/>
  <c r="X22" i="1"/>
  <c r="V22" i="1"/>
  <c r="T22" i="1"/>
  <c r="R22" i="1"/>
  <c r="P18" i="1"/>
  <c r="N18" i="1"/>
  <c r="L18" i="1"/>
  <c r="J18" i="1"/>
  <c r="AF16" i="1"/>
  <c r="AD16" i="1"/>
  <c r="AB16" i="1"/>
  <c r="Z16" i="1"/>
  <c r="X16" i="1"/>
  <c r="T16" i="1"/>
  <c r="R16" i="1"/>
  <c r="P16" i="1"/>
  <c r="N16" i="1"/>
  <c r="L16" i="1"/>
  <c r="J16" i="1"/>
  <c r="AD14" i="1"/>
  <c r="D14" i="1"/>
  <c r="AF14" i="1"/>
  <c r="Z14" i="1"/>
  <c r="X14" i="1"/>
  <c r="V14" i="1"/>
  <c r="T14" i="1"/>
  <c r="R14" i="1"/>
  <c r="U29" i="1" l="1"/>
  <c r="U20" i="1"/>
  <c r="U16" i="1"/>
  <c r="U15" i="1"/>
  <c r="U26" i="1" l="1"/>
  <c r="U31" i="1"/>
  <c r="T31" i="1"/>
  <c r="U18" i="1"/>
  <c r="E31" i="1" l="1"/>
  <c r="E29" i="1"/>
  <c r="E26" i="1"/>
  <c r="E24" i="1"/>
  <c r="E22" i="1"/>
  <c r="E20" i="1"/>
  <c r="E18" i="1"/>
  <c r="E16" i="1"/>
  <c r="E14" i="1"/>
  <c r="S29" i="1" l="1"/>
  <c r="S16" i="1"/>
  <c r="S14" i="1"/>
  <c r="S31" i="1" l="1"/>
  <c r="S18" i="1"/>
  <c r="AD31" i="1"/>
  <c r="R31" i="1"/>
  <c r="AB20" i="1"/>
  <c r="T20" i="1"/>
  <c r="AF18" i="1"/>
  <c r="T18" i="1"/>
  <c r="V16" i="1"/>
  <c r="J12" i="1" l="1"/>
  <c r="J9" i="1" s="1"/>
  <c r="Q31" i="1" l="1"/>
  <c r="Q29" i="1"/>
  <c r="Q18" i="1"/>
  <c r="Q16" i="1"/>
  <c r="O31" i="1"/>
  <c r="O29" i="1"/>
  <c r="O18" i="1"/>
  <c r="O16" i="1"/>
  <c r="M31" i="1"/>
  <c r="M29" i="1"/>
  <c r="M18" i="1"/>
  <c r="M16" i="1"/>
  <c r="AG12" i="1" l="1"/>
  <c r="AE12" i="1"/>
  <c r="AC12" i="1"/>
  <c r="AA12" i="1"/>
  <c r="Y12" i="1"/>
  <c r="W12" i="1"/>
  <c r="U12" i="1"/>
  <c r="S12" i="1"/>
  <c r="G12" i="1" s="1"/>
  <c r="Q12" i="1"/>
  <c r="O12" i="1"/>
  <c r="N12" i="1"/>
  <c r="M12" i="1"/>
  <c r="L12" i="1"/>
  <c r="AD26" i="1"/>
  <c r="AB26" i="1"/>
  <c r="Z26" i="1"/>
  <c r="Z25" i="1" s="1"/>
  <c r="X26" i="1"/>
  <c r="V26" i="1"/>
  <c r="T26" i="1"/>
  <c r="T25" i="1" s="1"/>
  <c r="R26" i="1"/>
  <c r="R25" i="1" s="1"/>
  <c r="P26" i="1"/>
  <c r="AF26" i="1"/>
  <c r="AB25" i="1"/>
  <c r="G26" i="1"/>
  <c r="F26" i="1" s="1"/>
  <c r="F25" i="1" s="1"/>
  <c r="D26" i="1"/>
  <c r="D25" i="1" s="1"/>
  <c r="AG25" i="1"/>
  <c r="AF25" i="1"/>
  <c r="AE25" i="1"/>
  <c r="AD25" i="1"/>
  <c r="AC25" i="1"/>
  <c r="AA25" i="1"/>
  <c r="Y25" i="1"/>
  <c r="X25" i="1"/>
  <c r="W25" i="1"/>
  <c r="V25" i="1"/>
  <c r="U25" i="1"/>
  <c r="S25" i="1"/>
  <c r="Q25" i="1"/>
  <c r="O25" i="1"/>
  <c r="N25" i="1"/>
  <c r="M25" i="1"/>
  <c r="L25" i="1"/>
  <c r="K25" i="1"/>
  <c r="J25" i="1"/>
  <c r="AI26" i="1" l="1"/>
  <c r="E25" i="1"/>
  <c r="G25" i="1"/>
  <c r="I26" i="1"/>
  <c r="P25" i="1"/>
  <c r="P12" i="1"/>
  <c r="H25" i="1"/>
  <c r="I25" i="1"/>
  <c r="H26" i="1"/>
  <c r="AB31" i="1"/>
  <c r="Z31" i="1"/>
  <c r="X31" i="1"/>
  <c r="AF12" i="1"/>
  <c r="AD18" i="1"/>
  <c r="AD12" i="1" s="1"/>
  <c r="AB18" i="1"/>
  <c r="AB12" i="1" s="1"/>
  <c r="Z18" i="1"/>
  <c r="Z12" i="1" s="1"/>
  <c r="X18" i="1"/>
  <c r="X12" i="1" s="1"/>
  <c r="V18" i="1"/>
  <c r="V12" i="1" s="1"/>
  <c r="T12" i="1"/>
  <c r="R18" i="1"/>
  <c r="R12" i="1" s="1"/>
  <c r="K31" i="1"/>
  <c r="K18" i="1"/>
  <c r="K29" i="1"/>
  <c r="K16" i="1"/>
  <c r="K12" i="1" s="1"/>
  <c r="E12" i="1" l="1"/>
  <c r="G16" i="1"/>
  <c r="F16" i="1" s="1"/>
  <c r="AI25" i="1"/>
  <c r="N9" i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E13" i="1"/>
  <c r="AC13" i="1"/>
  <c r="E28" i="1"/>
  <c r="D29" i="1"/>
  <c r="D28" i="1" s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S9" i="1"/>
  <c r="R9" i="1"/>
  <c r="O11" i="1"/>
  <c r="M11" i="1"/>
  <c r="K9" i="1"/>
  <c r="P9" i="1"/>
  <c r="P8" i="1" s="1"/>
  <c r="U8" i="1" l="1"/>
  <c r="G9" i="1"/>
  <c r="F9" i="1"/>
  <c r="S8" i="1"/>
  <c r="R8" i="1"/>
  <c r="L9" i="1"/>
  <c r="I22" i="1"/>
  <c r="G19" i="1"/>
  <c r="AI19" i="1" s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AB11" i="1"/>
  <c r="AI18" i="1"/>
  <c r="AI22" i="1"/>
  <c r="G28" i="1"/>
  <c r="I28" i="1" s="1"/>
  <c r="AI16" i="1"/>
  <c r="E11" i="1"/>
  <c r="F15" i="1"/>
  <c r="K8" i="1"/>
  <c r="AI14" i="1"/>
  <c r="E17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H19" i="1" l="1"/>
  <c r="T8" i="1"/>
  <c r="D9" i="1"/>
  <c r="D8" i="1" s="1"/>
  <c r="E9" i="1"/>
  <c r="L8" i="1"/>
  <c r="H21" i="1"/>
  <c r="AI17" i="1"/>
  <c r="F8" i="1"/>
  <c r="H13" i="1"/>
  <c r="AI13" i="1"/>
  <c r="I17" i="1"/>
  <c r="H28" i="1"/>
  <c r="H17" i="1"/>
  <c r="AI28" i="1"/>
  <c r="I15" i="1"/>
  <c r="H15" i="1"/>
  <c r="F12" i="1"/>
  <c r="F11" i="1" s="1"/>
  <c r="H12" i="1"/>
  <c r="G11" i="1"/>
  <c r="I12" i="1"/>
  <c r="I23" i="1"/>
  <c r="H23" i="1"/>
  <c r="AI21" i="1"/>
  <c r="I21" i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<sst xmlns="http://schemas.openxmlformats.org/spreadsheetml/2006/main" count="90" uniqueCount="46">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</sst>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Q8" activePane="bottomRight" state="frozen"/>
      <selection pane="topRight" activeCell="G1" sqref="G1"/>
      <selection pane="bottomLeft" activeCell="A8" sqref="A8"/>
      <selection pane="bottomRight" activeCell="T31" sqref="T3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54" t="s">
        <v>3</v>
      </c>
      <c r="B4" s="57" t="s">
        <v>4</v>
      </c>
      <c r="C4" s="57" t="s">
        <v>5</v>
      </c>
      <c r="D4" s="60" t="s">
        <v>6</v>
      </c>
      <c r="E4" s="60" t="s">
        <v>6</v>
      </c>
      <c r="F4" s="60" t="s">
        <v>7</v>
      </c>
      <c r="G4" s="60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62" t="s">
        <v>22</v>
      </c>
      <c r="AI4" s="35"/>
    </row>
    <row r="5" spans="1:35" s="8" customFormat="1" ht="39" customHeight="1" x14ac:dyDescent="0.25">
      <c r="A5" s="55"/>
      <c r="B5" s="58"/>
      <c r="C5" s="58"/>
      <c r="D5" s="61"/>
      <c r="E5" s="61"/>
      <c r="F5" s="61"/>
      <c r="G5" s="61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63"/>
      <c r="AI5" s="35"/>
    </row>
    <row r="6" spans="1:35" s="8" customFormat="1" ht="64.5" customHeight="1" x14ac:dyDescent="0.25">
      <c r="A6" s="56"/>
      <c r="B6" s="59"/>
      <c r="C6" s="59"/>
      <c r="D6" s="32">
        <v>2026</v>
      </c>
      <c r="E6" s="33">
        <v>46203</v>
      </c>
      <c r="F6" s="33">
        <v>46203</v>
      </c>
      <c r="G6" s="33">
        <v>46203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64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65"/>
      <c r="B8" s="62" t="s">
        <v>27</v>
      </c>
      <c r="C8" s="36" t="s">
        <v>28</v>
      </c>
      <c r="D8" s="37">
        <f>D9</f>
        <v>66873.547510000004</v>
      </c>
      <c r="E8" s="37">
        <f>E9</f>
        <v>34786.382169999997</v>
      </c>
      <c r="F8" s="37">
        <f>F9</f>
        <v>25399.687670000003</v>
      </c>
      <c r="G8" s="37">
        <f>G9</f>
        <v>25399.687670000003</v>
      </c>
      <c r="H8" s="37">
        <f>IFERROR(G8/D8*100,0)</f>
        <v>37.981666317615101</v>
      </c>
      <c r="I8" s="37">
        <f>IFERROR(G8/E8*100,0)</f>
        <v>73.016180716558836</v>
      </c>
      <c r="J8" s="38">
        <f>J9</f>
        <v>4601.2958999999992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4842.4400299999998</v>
      </c>
      <c r="O8" s="38">
        <f t="shared" si="0"/>
        <v>3945.9867100000001</v>
      </c>
      <c r="P8" s="38">
        <f t="shared" si="0"/>
        <v>5330.8918300000005</v>
      </c>
      <c r="Q8" s="38">
        <f t="shared" si="0"/>
        <v>4868.76901</v>
      </c>
      <c r="R8" s="38">
        <f t="shared" si="0"/>
        <v>5046.2731199999998</v>
      </c>
      <c r="S8" s="38">
        <f t="shared" si="0"/>
        <v>5050.3827000000001</v>
      </c>
      <c r="T8" s="38">
        <f t="shared" si="0"/>
        <v>5863.3782599999995</v>
      </c>
      <c r="U8" s="38">
        <f t="shared" si="0"/>
        <v>4750.1525199999996</v>
      </c>
      <c r="V8" s="38">
        <f t="shared" si="0"/>
        <v>6342.9484700000003</v>
      </c>
      <c r="W8" s="38">
        <f t="shared" si="0"/>
        <v>0</v>
      </c>
      <c r="X8" s="38">
        <f t="shared" si="0"/>
        <v>4882.2110400000001</v>
      </c>
      <c r="Y8" s="38">
        <f t="shared" si="0"/>
        <v>0</v>
      </c>
      <c r="Z8" s="38">
        <f t="shared" si="0"/>
        <v>4601.7720399999998</v>
      </c>
      <c r="AA8" s="38">
        <f t="shared" si="0"/>
        <v>0</v>
      </c>
      <c r="AB8" s="38">
        <f t="shared" si="0"/>
        <v>4658.9878799999997</v>
      </c>
      <c r="AC8" s="38">
        <f t="shared" si="0"/>
        <v>0</v>
      </c>
      <c r="AD8" s="38">
        <f t="shared" si="0"/>
        <v>5385.4725600000002</v>
      </c>
      <c r="AE8" s="38">
        <f t="shared" si="0"/>
        <v>0</v>
      </c>
      <c r="AF8" s="38">
        <f t="shared" si="0"/>
        <v>6215.7733499999995</v>
      </c>
      <c r="AG8" s="38">
        <f t="shared" si="0"/>
        <v>0</v>
      </c>
      <c r="AH8" s="39"/>
      <c r="AI8" s="20">
        <f>E8-G8</f>
        <v>9386.6944999999942</v>
      </c>
    </row>
    <row r="9" spans="1:35" s="10" customFormat="1" ht="38.25" customHeight="1" x14ac:dyDescent="0.25">
      <c r="A9" s="66"/>
      <c r="B9" s="63"/>
      <c r="C9" s="40" t="s">
        <v>29</v>
      </c>
      <c r="D9" s="41">
        <f>SUM(J9,L9,N9,P9,R9,T9,V9,X9,Z9,AB9,AD9,AF9)</f>
        <v>66873.547510000004</v>
      </c>
      <c r="E9" s="41">
        <f>J9+L9+N9+P9+R9+T9</f>
        <v>34786.382169999997</v>
      </c>
      <c r="F9" s="41">
        <f>K9+M9+O9+Q9+S9+U9+W9+Y9+AA9+AC9+AE9+AG9</f>
        <v>25399.687670000003</v>
      </c>
      <c r="G9" s="41">
        <f>K9+M9+O9+Q9+S9+U9+W9+Y9+AA9+AC9+AE9+AG9</f>
        <v>25399.687670000003</v>
      </c>
      <c r="H9" s="41">
        <f>IFERROR(G9/D9*100,0)</f>
        <v>37.981666317615101</v>
      </c>
      <c r="I9" s="41">
        <f>IFERROR(G9/E9*100,0)</f>
        <v>73.016180716558836</v>
      </c>
      <c r="J9" s="41">
        <f>J12+J29+J31</f>
        <v>4601.2958999999992</v>
      </c>
      <c r="K9" s="41">
        <f>K12+K29+K31</f>
        <v>2210.8402500000002</v>
      </c>
      <c r="L9" s="41">
        <f t="shared" ref="L9:AG9" si="1">L12+L29+L31</f>
        <v>9102.1030299999984</v>
      </c>
      <c r="M9" s="41">
        <f t="shared" si="1"/>
        <v>4573.5564800000002</v>
      </c>
      <c r="N9" s="41">
        <f t="shared" si="1"/>
        <v>4842.4400299999998</v>
      </c>
      <c r="O9" s="41">
        <f t="shared" si="1"/>
        <v>3945.9867100000001</v>
      </c>
      <c r="P9" s="41">
        <f t="shared" si="1"/>
        <v>5330.8918300000005</v>
      </c>
      <c r="Q9" s="41">
        <f t="shared" si="1"/>
        <v>4868.76901</v>
      </c>
      <c r="R9" s="41">
        <f t="shared" si="1"/>
        <v>5046.2731199999998</v>
      </c>
      <c r="S9" s="41">
        <f t="shared" si="1"/>
        <v>5050.3827000000001</v>
      </c>
      <c r="T9" s="41">
        <f t="shared" si="1"/>
        <v>5863.3782599999995</v>
      </c>
      <c r="U9" s="41">
        <f t="shared" si="1"/>
        <v>4750.1525199999996</v>
      </c>
      <c r="V9" s="41">
        <f t="shared" si="1"/>
        <v>6342.9484700000003</v>
      </c>
      <c r="W9" s="41">
        <f t="shared" si="1"/>
        <v>0</v>
      </c>
      <c r="X9" s="41">
        <f t="shared" si="1"/>
        <v>4882.2110400000001</v>
      </c>
      <c r="Y9" s="41">
        <f t="shared" si="1"/>
        <v>0</v>
      </c>
      <c r="Z9" s="41">
        <f t="shared" si="1"/>
        <v>4601.7720399999998</v>
      </c>
      <c r="AA9" s="41">
        <f t="shared" si="1"/>
        <v>0</v>
      </c>
      <c r="AB9" s="41">
        <f t="shared" si="1"/>
        <v>4658.9878799999997</v>
      </c>
      <c r="AC9" s="41">
        <f t="shared" si="1"/>
        <v>0</v>
      </c>
      <c r="AD9" s="41">
        <f t="shared" si="1"/>
        <v>5385.4725600000002</v>
      </c>
      <c r="AE9" s="41">
        <f t="shared" si="1"/>
        <v>0</v>
      </c>
      <c r="AF9" s="41">
        <f t="shared" si="1"/>
        <v>6215.7733499999995</v>
      </c>
      <c r="AG9" s="41">
        <f t="shared" si="1"/>
        <v>0</v>
      </c>
      <c r="AH9" s="12"/>
      <c r="AI9" s="20">
        <f>E9-G9</f>
        <v>9386.6944999999942</v>
      </c>
    </row>
    <row r="10" spans="1:35" s="13" customFormat="1" ht="18.75" customHeight="1" x14ac:dyDescent="0.25">
      <c r="A10" s="11" t="s">
        <v>30</v>
      </c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12"/>
      <c r="AI10" s="20"/>
    </row>
    <row r="11" spans="1:35" s="9" customFormat="1" ht="88.5" customHeight="1" x14ac:dyDescent="0.25">
      <c r="A11" s="65" t="s">
        <v>32</v>
      </c>
      <c r="B11" s="62" t="s">
        <v>33</v>
      </c>
      <c r="C11" s="36" t="s">
        <v>28</v>
      </c>
      <c r="D11" s="37">
        <f>D12</f>
        <v>11935.44751</v>
      </c>
      <c r="E11" s="37">
        <f>E12</f>
        <v>7488.6626100000003</v>
      </c>
      <c r="F11" s="37">
        <f>F12</f>
        <v>2465.7248300000001</v>
      </c>
      <c r="G11" s="37">
        <f>G12</f>
        <v>2465.7248300000001</v>
      </c>
      <c r="H11" s="37">
        <f t="shared" ref="H11:H28" si="2">IFERROR(G11/D11*100,0)</f>
        <v>20.658838539016791</v>
      </c>
      <c r="I11" s="37">
        <f t="shared" ref="I11:I28" si="3">IFERROR(G11/E11*100,0)</f>
        <v>32.926103877445215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382.57436000000001</v>
      </c>
      <c r="P11" s="38">
        <f t="shared" si="4"/>
        <v>430.69200000000001</v>
      </c>
      <c r="Q11" s="38">
        <f t="shared" si="4"/>
        <v>382.59669000000002</v>
      </c>
      <c r="R11" s="38">
        <f t="shared" si="4"/>
        <v>499.21229000000005</v>
      </c>
      <c r="S11" s="38">
        <f t="shared" si="4"/>
        <v>419.76722999999998</v>
      </c>
      <c r="T11" s="38">
        <f t="shared" si="4"/>
        <v>1363.6903199999997</v>
      </c>
      <c r="U11" s="38">
        <f t="shared" si="4"/>
        <v>671.75197000000003</v>
      </c>
      <c r="V11" s="38">
        <f t="shared" si="4"/>
        <v>813.44243999999992</v>
      </c>
      <c r="W11" s="38">
        <f t="shared" si="4"/>
        <v>0</v>
      </c>
      <c r="X11" s="38">
        <f t="shared" si="4"/>
        <v>661.12900999999999</v>
      </c>
      <c r="Y11" s="38">
        <f t="shared" si="4"/>
        <v>0</v>
      </c>
      <c r="Z11" s="38">
        <f t="shared" si="4"/>
        <v>677.80500999999992</v>
      </c>
      <c r="AA11" s="38">
        <f t="shared" si="4"/>
        <v>0</v>
      </c>
      <c r="AB11" s="38">
        <f t="shared" si="4"/>
        <v>495.66585000000009</v>
      </c>
      <c r="AC11" s="38">
        <f t="shared" si="4"/>
        <v>0</v>
      </c>
      <c r="AD11" s="38">
        <f t="shared" si="4"/>
        <v>1206.3463299999999</v>
      </c>
      <c r="AE11" s="38">
        <f t="shared" si="4"/>
        <v>0</v>
      </c>
      <c r="AF11" s="38">
        <f t="shared" si="4"/>
        <v>592.39625999999998</v>
      </c>
      <c r="AG11" s="38">
        <f t="shared" si="4"/>
        <v>0</v>
      </c>
      <c r="AH11" s="39"/>
      <c r="AI11" s="20">
        <f t="shared" ref="AI11:AI22" si="5">E11-G11</f>
        <v>5022.9377800000002</v>
      </c>
    </row>
    <row r="12" spans="1:35" s="9" customFormat="1" ht="105.75" customHeight="1" x14ac:dyDescent="0.25">
      <c r="A12" s="70"/>
      <c r="B12" s="64"/>
      <c r="C12" s="40" t="s">
        <v>29</v>
      </c>
      <c r="D12" s="41">
        <f>SUM(J12,L12,N12,P12,R12,T12,V12,X12,Z12,AB12,AD12,AF12)</f>
        <v>11935.44751</v>
      </c>
      <c r="E12" s="41">
        <f>J12+L12+N12+P12+R12+T12</f>
        <v>7488.6626100000003</v>
      </c>
      <c r="F12" s="41">
        <f>G12</f>
        <v>2465.7248300000001</v>
      </c>
      <c r="G12" s="41">
        <f>SUM(K12,M12,O12,Q12,S12,U12,W12,Y12,AA12,AC12,AE12,AG12)</f>
        <v>2465.7248300000001</v>
      </c>
      <c r="H12" s="41">
        <f>IFERROR(G12/D12*100,0)</f>
        <v>20.658838539016791</v>
      </c>
      <c r="I12" s="41">
        <f>IFERROR(G12/E12*100,0)</f>
        <v>32.926103877445215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382.57436000000001</v>
      </c>
      <c r="P12" s="42">
        <f t="shared" si="6"/>
        <v>430.69200000000001</v>
      </c>
      <c r="Q12" s="42">
        <f t="shared" si="6"/>
        <v>382.59669000000002</v>
      </c>
      <c r="R12" s="42">
        <f t="shared" si="6"/>
        <v>499.21229000000005</v>
      </c>
      <c r="S12" s="42">
        <f t="shared" si="6"/>
        <v>419.76722999999998</v>
      </c>
      <c r="T12" s="42">
        <f t="shared" si="6"/>
        <v>1363.6903199999997</v>
      </c>
      <c r="U12" s="42">
        <f t="shared" si="6"/>
        <v>671.75197000000003</v>
      </c>
      <c r="V12" s="42">
        <f t="shared" si="6"/>
        <v>813.44243999999992</v>
      </c>
      <c r="W12" s="42">
        <f t="shared" si="6"/>
        <v>0</v>
      </c>
      <c r="X12" s="42">
        <f t="shared" si="6"/>
        <v>661.12900999999999</v>
      </c>
      <c r="Y12" s="42">
        <f t="shared" si="6"/>
        <v>0</v>
      </c>
      <c r="Z12" s="42">
        <f t="shared" si="6"/>
        <v>677.80500999999992</v>
      </c>
      <c r="AA12" s="42">
        <f t="shared" si="6"/>
        <v>0</v>
      </c>
      <c r="AB12" s="42">
        <f t="shared" si="6"/>
        <v>495.66585000000009</v>
      </c>
      <c r="AC12" s="42">
        <f t="shared" si="6"/>
        <v>0</v>
      </c>
      <c r="AD12" s="42">
        <f t="shared" si="6"/>
        <v>1206.3463299999999</v>
      </c>
      <c r="AE12" s="42">
        <f t="shared" si="6"/>
        <v>0</v>
      </c>
      <c r="AF12" s="42">
        <f t="shared" si="6"/>
        <v>592.39625999999998</v>
      </c>
      <c r="AG12" s="42">
        <f t="shared" si="6"/>
        <v>0</v>
      </c>
      <c r="AH12" s="39"/>
      <c r="AI12" s="20">
        <f t="shared" si="5"/>
        <v>5022.9377800000002</v>
      </c>
    </row>
    <row r="13" spans="1:35" s="24" customFormat="1" ht="35.25" customHeight="1" x14ac:dyDescent="0.25">
      <c r="A13" s="71"/>
      <c r="B13" s="73" t="s">
        <v>34</v>
      </c>
      <c r="C13" s="14" t="s">
        <v>28</v>
      </c>
      <c r="D13" s="15">
        <f>D14</f>
        <v>731.79103999999995</v>
      </c>
      <c r="E13" s="15">
        <f t="shared" ref="E13:G21" si="7">E14</f>
        <v>103.70941999999999</v>
      </c>
      <c r="F13" s="15">
        <f>F14</f>
        <v>58.124410000000005</v>
      </c>
      <c r="G13" s="15">
        <f>G14</f>
        <v>58.124410000000005</v>
      </c>
      <c r="H13" s="15">
        <f t="shared" si="2"/>
        <v>7.9427605454147132</v>
      </c>
      <c r="I13" s="15">
        <f t="shared" si="3"/>
        <v>56.045448909076924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2.8621099999999999</v>
      </c>
      <c r="S13" s="16">
        <f t="shared" si="8"/>
        <v>2.8621099999999999</v>
      </c>
      <c r="T13" s="16">
        <f t="shared" si="8"/>
        <v>100.84730999999999</v>
      </c>
      <c r="U13" s="16">
        <f t="shared" si="8"/>
        <v>55.262300000000003</v>
      </c>
      <c r="V13" s="16">
        <f t="shared" si="8"/>
        <v>261.96075999999999</v>
      </c>
      <c r="W13" s="16">
        <f t="shared" si="8"/>
        <v>0</v>
      </c>
      <c r="X13" s="16">
        <f t="shared" si="8"/>
        <v>172.09882999999999</v>
      </c>
      <c r="Y13" s="16">
        <f t="shared" si="8"/>
        <v>0</v>
      </c>
      <c r="Z13" s="16">
        <f t="shared" si="8"/>
        <v>188.77482999999998</v>
      </c>
      <c r="AA13" s="16">
        <f t="shared" si="8"/>
        <v>0</v>
      </c>
      <c r="AB13" s="16">
        <f t="shared" si="8"/>
        <v>0</v>
      </c>
      <c r="AC13" s="16">
        <f t="shared" si="8"/>
        <v>0</v>
      </c>
      <c r="AD13" s="16">
        <f t="shared" si="8"/>
        <v>3.8161499999999999</v>
      </c>
      <c r="AE13" s="16">
        <f t="shared" si="8"/>
        <v>0</v>
      </c>
      <c r="AF13" s="16">
        <f t="shared" si="8"/>
        <v>1.4310499999999999</v>
      </c>
      <c r="AG13" s="16">
        <f t="shared" si="8"/>
        <v>0</v>
      </c>
      <c r="AH13" s="29"/>
      <c r="AI13" s="30">
        <f t="shared" si="5"/>
        <v>45.58500999999999</v>
      </c>
    </row>
    <row r="14" spans="1:35" s="25" customFormat="1" ht="42" customHeight="1" x14ac:dyDescent="0.25">
      <c r="A14" s="72"/>
      <c r="B14" s="74"/>
      <c r="C14" s="17" t="s">
        <v>29</v>
      </c>
      <c r="D14" s="18">
        <f>SUM(J14,L14,N14,P14,R14,T14,V14,X14,Z14,AB14,AD14,AF14)</f>
        <v>731.79103999999995</v>
      </c>
      <c r="E14" s="18">
        <f>J14+L14+N14+P14+R14+T14</f>
        <v>103.70941999999999</v>
      </c>
      <c r="F14" s="18">
        <f>G14</f>
        <v>58.124410000000005</v>
      </c>
      <c r="G14" s="18">
        <f>SUM(K14,M14,O14,Q14,S14,U14,W14,Y14,AA14,AC14,AE14,AG14)</f>
        <v>58.124410000000005</v>
      </c>
      <c r="H14" s="18">
        <f t="shared" si="2"/>
        <v>7.9427605454147132</v>
      </c>
      <c r="I14" s="18">
        <f t="shared" si="3"/>
        <v>56.045448909076924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f>2862.11/1000</f>
        <v>2.8621099999999999</v>
      </c>
      <c r="S14" s="19">
        <f>2862.11/1000</f>
        <v>2.8621099999999999</v>
      </c>
      <c r="T14" s="19">
        <f>100847.31/1000</f>
        <v>100.84730999999999</v>
      </c>
      <c r="U14" s="19">
        <f>55262.3/1000</f>
        <v>55.262300000000003</v>
      </c>
      <c r="V14" s="19">
        <f>261960.76/1000</f>
        <v>261.96075999999999</v>
      </c>
      <c r="W14" s="19">
        <v>0</v>
      </c>
      <c r="X14" s="19">
        <f>172098.83/1000</f>
        <v>172.09882999999999</v>
      </c>
      <c r="Y14" s="19">
        <v>0</v>
      </c>
      <c r="Z14" s="19">
        <f>188774.83/1000</f>
        <v>188.77482999999998</v>
      </c>
      <c r="AA14" s="19">
        <v>0</v>
      </c>
      <c r="AB14" s="19">
        <v>0</v>
      </c>
      <c r="AC14" s="19">
        <v>0</v>
      </c>
      <c r="AD14" s="19">
        <f>3816.15/1000</f>
        <v>3.8161499999999999</v>
      </c>
      <c r="AE14" s="19">
        <v>0</v>
      </c>
      <c r="AF14" s="19">
        <f>1431.05/1000</f>
        <v>1.4310499999999999</v>
      </c>
      <c r="AG14" s="19">
        <v>0</v>
      </c>
      <c r="AH14" s="29"/>
      <c r="AI14" s="30">
        <f t="shared" si="5"/>
        <v>45.58500999999999</v>
      </c>
    </row>
    <row r="15" spans="1:35" s="24" customFormat="1" ht="35.25" customHeight="1" x14ac:dyDescent="0.25">
      <c r="A15" s="75"/>
      <c r="B15" s="73" t="s">
        <v>35</v>
      </c>
      <c r="C15" s="14" t="s">
        <v>28</v>
      </c>
      <c r="D15" s="15">
        <f>D16</f>
        <v>109.78309999999998</v>
      </c>
      <c r="E15" s="15">
        <f t="shared" si="7"/>
        <v>44.2485</v>
      </c>
      <c r="F15" s="15">
        <f t="shared" si="7"/>
        <v>43.22148</v>
      </c>
      <c r="G15" s="15">
        <f t="shared" si="7"/>
        <v>43.22148</v>
      </c>
      <c r="H15" s="15">
        <f t="shared" si="2"/>
        <v>39.369884800119515</v>
      </c>
      <c r="I15" s="15">
        <f t="shared" si="3"/>
        <v>97.678972168548086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0.43036000000000002</v>
      </c>
      <c r="P15" s="16">
        <f t="shared" si="8"/>
        <v>0.7</v>
      </c>
      <c r="Q15" s="16">
        <f t="shared" si="8"/>
        <v>0.45268999999999998</v>
      </c>
      <c r="R15" s="16">
        <f t="shared" si="8"/>
        <v>0.6</v>
      </c>
      <c r="S15" s="16">
        <f t="shared" si="8"/>
        <v>0.45472000000000001</v>
      </c>
      <c r="T15" s="16">
        <f t="shared" si="8"/>
        <v>41.048499999999997</v>
      </c>
      <c r="U15" s="16">
        <f t="shared" si="8"/>
        <v>40.897129999999997</v>
      </c>
      <c r="V15" s="16">
        <f t="shared" si="8"/>
        <v>63.051499999999997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1.0270200000000003</v>
      </c>
    </row>
    <row r="16" spans="1:35" s="25" customFormat="1" ht="42" customHeight="1" x14ac:dyDescent="0.25">
      <c r="A16" s="76"/>
      <c r="B16" s="77"/>
      <c r="C16" s="17" t="s">
        <v>29</v>
      </c>
      <c r="D16" s="18">
        <f>SUM(J16,L16,N16,P16,R16,T16,V16,X16,Z16,AB16,AD16,AF16)</f>
        <v>109.78309999999998</v>
      </c>
      <c r="E16" s="18">
        <f>J16+L16+N16+P16+R16+T16</f>
        <v>44.2485</v>
      </c>
      <c r="F16" s="18">
        <f>G16</f>
        <v>43.22148</v>
      </c>
      <c r="G16" s="18">
        <f>SUM(K16,M16,O16,Q16,S16,U16,W16,Y16,AA16,AC16,AE16,AG16)</f>
        <v>43.22148</v>
      </c>
      <c r="H16" s="18">
        <f t="shared" si="2"/>
        <v>39.369884800119515</v>
      </c>
      <c r="I16" s="18">
        <f t="shared" si="3"/>
        <v>97.678972168548086</v>
      </c>
      <c r="J16" s="19">
        <f>700/1000</f>
        <v>0.7</v>
      </c>
      <c r="K16" s="19">
        <f>513.59/1000</f>
        <v>0.51358999999999999</v>
      </c>
      <c r="L16" s="19">
        <f>600/1000</f>
        <v>0.6</v>
      </c>
      <c r="M16" s="19">
        <f>472.99/1000</f>
        <v>0.47299000000000002</v>
      </c>
      <c r="N16" s="19">
        <f>600/1000</f>
        <v>0.6</v>
      </c>
      <c r="O16" s="19">
        <f>430.36/1000</f>
        <v>0.43036000000000002</v>
      </c>
      <c r="P16" s="19">
        <f>700/1000</f>
        <v>0.7</v>
      </c>
      <c r="Q16" s="19">
        <f>452.69/1000</f>
        <v>0.45268999999999998</v>
      </c>
      <c r="R16" s="19">
        <f>600/1000</f>
        <v>0.6</v>
      </c>
      <c r="S16" s="19">
        <f>454.72/1000</f>
        <v>0.45472000000000001</v>
      </c>
      <c r="T16" s="19">
        <f>41048.5/1000</f>
        <v>41.048499999999997</v>
      </c>
      <c r="U16" s="19">
        <f>(448.63+40448.5)/1000</f>
        <v>40.897129999999997</v>
      </c>
      <c r="V16" s="19">
        <f>63051.5/1000</f>
        <v>63.051499999999997</v>
      </c>
      <c r="W16" s="19">
        <v>0</v>
      </c>
      <c r="X16" s="19">
        <f>600/1000</f>
        <v>0.6</v>
      </c>
      <c r="Y16" s="19">
        <v>0</v>
      </c>
      <c r="Z16" s="19">
        <f>600/1000</f>
        <v>0.6</v>
      </c>
      <c r="AA16" s="19">
        <v>0</v>
      </c>
      <c r="AB16" s="19">
        <f>600/1000</f>
        <v>0.6</v>
      </c>
      <c r="AC16" s="19">
        <v>0</v>
      </c>
      <c r="AD16" s="19">
        <f>600/1000</f>
        <v>0.6</v>
      </c>
      <c r="AE16" s="19">
        <v>0</v>
      </c>
      <c r="AF16" s="19">
        <f>83.1/1000</f>
        <v>8.3099999999999993E-2</v>
      </c>
      <c r="AG16" s="19">
        <v>0</v>
      </c>
      <c r="AH16" s="29"/>
      <c r="AI16" s="30">
        <f t="shared" si="5"/>
        <v>1.0270200000000003</v>
      </c>
    </row>
    <row r="17" spans="1:35" s="24" customFormat="1" ht="42.75" customHeight="1" x14ac:dyDescent="0.25">
      <c r="A17" s="71"/>
      <c r="B17" s="73" t="s">
        <v>36</v>
      </c>
      <c r="C17" s="14" t="s">
        <v>28</v>
      </c>
      <c r="D17" s="15">
        <f>D18</f>
        <v>6043</v>
      </c>
      <c r="E17" s="15">
        <f t="shared" si="7"/>
        <v>2787.2662800000003</v>
      </c>
      <c r="F17" s="15">
        <f t="shared" si="7"/>
        <v>2136.6239999999998</v>
      </c>
      <c r="G17" s="15">
        <f t="shared" si="7"/>
        <v>2136.6239999999998</v>
      </c>
      <c r="H17" s="15">
        <f t="shared" si="2"/>
        <v>35.357008108555348</v>
      </c>
      <c r="I17" s="15">
        <f t="shared" si="3"/>
        <v>76.656615671467151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382.14400000000001</v>
      </c>
      <c r="P17" s="16">
        <f t="shared" si="8"/>
        <v>383.63200000000001</v>
      </c>
      <c r="Q17" s="16">
        <f t="shared" si="8"/>
        <v>382.14400000000001</v>
      </c>
      <c r="R17" s="16">
        <f t="shared" si="8"/>
        <v>438.89314000000002</v>
      </c>
      <c r="S17" s="16">
        <f t="shared" si="8"/>
        <v>382.14400000000001</v>
      </c>
      <c r="T17" s="16">
        <f t="shared" si="8"/>
        <v>971.57313999999997</v>
      </c>
      <c r="U17" s="16">
        <f t="shared" si="8"/>
        <v>382.14400000000001</v>
      </c>
      <c r="V17" s="16">
        <f t="shared" si="8"/>
        <v>431.57314000000002</v>
      </c>
      <c r="W17" s="16">
        <f t="shared" si="8"/>
        <v>0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384.36802</v>
      </c>
      <c r="AG17" s="16">
        <f t="shared" si="8"/>
        <v>0</v>
      </c>
      <c r="AH17" s="29"/>
      <c r="AI17" s="30">
        <f t="shared" si="5"/>
        <v>650.64228000000048</v>
      </c>
    </row>
    <row r="18" spans="1:35" s="25" customFormat="1" ht="45.75" customHeight="1" x14ac:dyDescent="0.25">
      <c r="A18" s="72"/>
      <c r="B18" s="74"/>
      <c r="C18" s="17" t="s">
        <v>29</v>
      </c>
      <c r="D18" s="18">
        <f>SUM(J18,L18,N18,P18,R18,T18,V18,X18,Z18,AB18,AD18,AF18)</f>
        <v>6043</v>
      </c>
      <c r="E18" s="18">
        <f>J18+L18+N18+P18+R18+T18</f>
        <v>2787.2662800000003</v>
      </c>
      <c r="F18" s="18">
        <f>G18</f>
        <v>2136.6239999999998</v>
      </c>
      <c r="G18" s="18">
        <f>SUM(K18,M18,O18,Q18,S18,U18,W18,Y18,AA18,AC18,AE18,AG18)</f>
        <v>2136.6239999999998</v>
      </c>
      <c r="H18" s="18">
        <f t="shared" si="2"/>
        <v>35.357008108555348</v>
      </c>
      <c r="I18" s="18">
        <f t="shared" si="3"/>
        <v>76.656615671467151</v>
      </c>
      <c r="J18" s="19">
        <f>225904/1000</f>
        <v>225.904</v>
      </c>
      <c r="K18" s="19">
        <f>225904/1000</f>
        <v>225.904</v>
      </c>
      <c r="L18" s="19">
        <f>383632/1000</f>
        <v>383.63200000000001</v>
      </c>
      <c r="M18" s="19">
        <f>382144/1000</f>
        <v>382.14400000000001</v>
      </c>
      <c r="N18" s="19">
        <f>383632/1000</f>
        <v>383.63200000000001</v>
      </c>
      <c r="O18" s="19">
        <f>382144/1000</f>
        <v>382.14400000000001</v>
      </c>
      <c r="P18" s="19">
        <f>383632/1000</f>
        <v>383.63200000000001</v>
      </c>
      <c r="Q18" s="19">
        <f>382144/1000</f>
        <v>382.14400000000001</v>
      </c>
      <c r="R18" s="19">
        <f>438893.14/1000</f>
        <v>438.89314000000002</v>
      </c>
      <c r="S18" s="19">
        <f>382144/1000</f>
        <v>382.14400000000001</v>
      </c>
      <c r="T18" s="19">
        <f>971573.14/1000</f>
        <v>971.57313999999997</v>
      </c>
      <c r="U18" s="19">
        <f>382144/1000</f>
        <v>382.14400000000001</v>
      </c>
      <c r="V18" s="19">
        <f>431573.14/1000</f>
        <v>431.57314000000002</v>
      </c>
      <c r="W18" s="19">
        <v>0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384368.02/1000</f>
        <v>384.36802</v>
      </c>
      <c r="AG18" s="19">
        <v>0</v>
      </c>
      <c r="AH18" s="29"/>
      <c r="AI18" s="30">
        <f t="shared" si="5"/>
        <v>650.64228000000048</v>
      </c>
    </row>
    <row r="19" spans="1:35" s="24" customFormat="1" ht="45.75" customHeight="1" x14ac:dyDescent="0.25">
      <c r="A19" s="71"/>
      <c r="B19" s="78" t="s">
        <v>37</v>
      </c>
      <c r="C19" s="14" t="s">
        <v>28</v>
      </c>
      <c r="D19" s="15">
        <f>D20</f>
        <v>100</v>
      </c>
      <c r="E19" s="15">
        <f t="shared" si="7"/>
        <v>93.364329999999995</v>
      </c>
      <c r="F19" s="15">
        <f t="shared" si="7"/>
        <v>93.364329999999995</v>
      </c>
      <c r="G19" s="15">
        <f t="shared" si="7"/>
        <v>93.364329999999995</v>
      </c>
      <c r="H19" s="15">
        <f t="shared" si="2"/>
        <v>93.364329999999995</v>
      </c>
      <c r="I19" s="15">
        <f t="shared" si="3"/>
        <v>100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93.364329999999995</v>
      </c>
      <c r="U19" s="16">
        <f t="shared" si="8"/>
        <v>93.364329999999995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6.6356700000000002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72"/>
      <c r="B20" s="79"/>
      <c r="C20" s="17" t="s">
        <v>29</v>
      </c>
      <c r="D20" s="18">
        <f>SUM(J20,L20,N20,P20,R20,T20,V20,X20,Z20,AB20,AD20,AF20)</f>
        <v>100</v>
      </c>
      <c r="E20" s="18">
        <f>J20+L20+N20+P20+R20+T20</f>
        <v>93.364329999999995</v>
      </c>
      <c r="F20" s="18">
        <f>G20</f>
        <v>93.364329999999995</v>
      </c>
      <c r="G20" s="18">
        <f>SUM(K20,M20,O20,Q20,S20,U20,W20,Y20,AA20,AC20,AE20,AG20)</f>
        <v>93.364329999999995</v>
      </c>
      <c r="H20" s="18">
        <f t="shared" si="2"/>
        <v>93.364329999999995</v>
      </c>
      <c r="I20" s="18">
        <f t="shared" si="3"/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f>93364.33/1000</f>
        <v>93.364329999999995</v>
      </c>
      <c r="U20" s="19">
        <f>93364.33/1000</f>
        <v>93.364329999999995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f>6635.67/1000</f>
        <v>6.6356700000000002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80"/>
      <c r="B21" s="78" t="s">
        <v>38</v>
      </c>
      <c r="C21" s="14" t="s">
        <v>28</v>
      </c>
      <c r="D21" s="15">
        <f>D22</f>
        <v>194.47336999999999</v>
      </c>
      <c r="E21" s="15">
        <f t="shared" si="7"/>
        <v>120.99408</v>
      </c>
      <c r="F21" s="15">
        <f t="shared" si="7"/>
        <v>53.724209999999999</v>
      </c>
      <c r="G21" s="15">
        <f t="shared" si="7"/>
        <v>53.724209999999999</v>
      </c>
      <c r="H21" s="15">
        <f t="shared" si="2"/>
        <v>27.625484147263968</v>
      </c>
      <c r="I21" s="15">
        <f t="shared" si="3"/>
        <v>44.402345966017506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10.49704</v>
      </c>
      <c r="S21" s="16">
        <f t="shared" si="8"/>
        <v>0</v>
      </c>
      <c r="T21" s="16">
        <f t="shared" si="8"/>
        <v>110.49704</v>
      </c>
      <c r="U21" s="16">
        <f t="shared" si="8"/>
        <v>53.724209999999999</v>
      </c>
      <c r="V21" s="16">
        <f t="shared" si="8"/>
        <v>10.49704</v>
      </c>
      <c r="W21" s="16">
        <f t="shared" si="8"/>
        <v>0</v>
      </c>
      <c r="X21" s="16">
        <f t="shared" si="8"/>
        <v>10.49704</v>
      </c>
      <c r="Y21" s="16">
        <f t="shared" si="8"/>
        <v>0</v>
      </c>
      <c r="Z21" s="16">
        <f t="shared" si="8"/>
        <v>10.49704</v>
      </c>
      <c r="AA21" s="16">
        <f t="shared" si="8"/>
        <v>0</v>
      </c>
      <c r="AB21" s="16">
        <f t="shared" si="8"/>
        <v>10.49704</v>
      </c>
      <c r="AC21" s="16">
        <f t="shared" si="8"/>
        <v>0</v>
      </c>
      <c r="AD21" s="16">
        <f t="shared" si="8"/>
        <v>10.49704</v>
      </c>
      <c r="AE21" s="16">
        <f t="shared" si="8"/>
        <v>0</v>
      </c>
      <c r="AF21" s="16">
        <f t="shared" si="8"/>
        <v>20.99409</v>
      </c>
      <c r="AG21" s="16">
        <f t="shared" si="8"/>
        <v>0</v>
      </c>
      <c r="AH21" s="29"/>
      <c r="AI21" s="30">
        <f t="shared" si="5"/>
        <v>67.269869999999997</v>
      </c>
    </row>
    <row r="22" spans="1:35" s="25" customFormat="1" ht="42" customHeight="1" x14ac:dyDescent="0.25">
      <c r="A22" s="80"/>
      <c r="B22" s="79"/>
      <c r="C22" s="17" t="s">
        <v>29</v>
      </c>
      <c r="D22" s="18">
        <f>SUM(J22,L22,N22,P22,R22,T22,V22,X22,Z22,AB22,AD22,AF22)</f>
        <v>194.47336999999999</v>
      </c>
      <c r="E22" s="18">
        <f>J22+L22+N22+P22+R22+T22</f>
        <v>120.99408</v>
      </c>
      <c r="F22" s="18">
        <f>G22</f>
        <v>53.724209999999999</v>
      </c>
      <c r="G22" s="18">
        <f>SUM(K22,M22,O22,Q22,S22,U22,W22,Y22,AA22,AC22,AE22,AG22)</f>
        <v>53.724209999999999</v>
      </c>
      <c r="H22" s="18">
        <f t="shared" si="2"/>
        <v>27.625484147263968</v>
      </c>
      <c r="I22" s="18">
        <f t="shared" si="3"/>
        <v>44.402345966017506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f>10497.04/1000</f>
        <v>10.49704</v>
      </c>
      <c r="S22" s="19">
        <v>0</v>
      </c>
      <c r="T22" s="19">
        <f>110497.04/1000</f>
        <v>110.49704</v>
      </c>
      <c r="U22" s="19">
        <f>(5724.21+48000)/1000</f>
        <v>53.724209999999999</v>
      </c>
      <c r="V22" s="19">
        <f>10497.04/1000</f>
        <v>10.49704</v>
      </c>
      <c r="W22" s="19">
        <v>0</v>
      </c>
      <c r="X22" s="19">
        <f>10497.04/1000</f>
        <v>10.49704</v>
      </c>
      <c r="Y22" s="19">
        <v>0</v>
      </c>
      <c r="Z22" s="19">
        <f>10497.04/1000</f>
        <v>10.49704</v>
      </c>
      <c r="AA22" s="19">
        <v>0</v>
      </c>
      <c r="AB22" s="19">
        <f>10497.04/1000</f>
        <v>10.49704</v>
      </c>
      <c r="AC22" s="19">
        <v>0</v>
      </c>
      <c r="AD22" s="19">
        <f>10497.04/1000</f>
        <v>10.49704</v>
      </c>
      <c r="AE22" s="19">
        <v>0</v>
      </c>
      <c r="AF22" s="19">
        <f>20994.09/1000</f>
        <v>20.99409</v>
      </c>
      <c r="AG22" s="19">
        <v>0</v>
      </c>
      <c r="AH22" s="29"/>
      <c r="AI22" s="30">
        <f t="shared" si="5"/>
        <v>67.269869999999997</v>
      </c>
    </row>
    <row r="23" spans="1:35" s="28" customFormat="1" ht="42" customHeight="1" x14ac:dyDescent="0.25">
      <c r="A23" s="71"/>
      <c r="B23" s="78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72"/>
      <c r="B24" s="79"/>
      <c r="C24" s="17" t="s">
        <v>29</v>
      </c>
      <c r="D24" s="18">
        <f>SUM(J24,L24,N24,P24,R24,T24,V24,X24,Z24,AB24,AD24,AF24)</f>
        <v>4200</v>
      </c>
      <c r="E24" s="18">
        <f>J24+L24+N24+P24+R24+T24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71"/>
      <c r="B25" s="78" t="s">
        <v>45</v>
      </c>
      <c r="C25" s="14" t="s">
        <v>28</v>
      </c>
      <c r="D25" s="15">
        <f>D26</f>
        <v>556.40000000000009</v>
      </c>
      <c r="E25" s="15">
        <f>E26</f>
        <v>139.07999999999998</v>
      </c>
      <c r="F25" s="15">
        <f>F26</f>
        <v>80.666399999999996</v>
      </c>
      <c r="G25" s="15">
        <f>G26</f>
        <v>80.666399999999996</v>
      </c>
      <c r="H25" s="15">
        <f>IFERROR(G25/D25*100,0)</f>
        <v>14.497915168943203</v>
      </c>
      <c r="I25" s="15">
        <f>IFERROR(G25/E25*100,0)</f>
        <v>58.000000000000007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34.306399999999996</v>
      </c>
      <c r="T25" s="16">
        <f t="shared" si="9"/>
        <v>46.36</v>
      </c>
      <c r="U25" s="16">
        <f t="shared" si="9"/>
        <v>46.36</v>
      </c>
      <c r="V25" s="16">
        <f t="shared" si="9"/>
        <v>46.36</v>
      </c>
      <c r="W25" s="16">
        <f t="shared" si="9"/>
        <v>0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58.413599999999988</v>
      </c>
    </row>
    <row r="26" spans="1:35" s="31" customFormat="1" ht="42" customHeight="1" x14ac:dyDescent="0.25">
      <c r="A26" s="72"/>
      <c r="B26" s="79"/>
      <c r="C26" s="17" t="s">
        <v>29</v>
      </c>
      <c r="D26" s="18">
        <f>SUM(J26,L26,N26,P26,R26,T26,V26,X26,Z26,AB26,AD26,AF26)</f>
        <v>556.40000000000009</v>
      </c>
      <c r="E26" s="18">
        <f>J26+L26+N26+P26+R26+T26</f>
        <v>139.07999999999998</v>
      </c>
      <c r="F26" s="18">
        <f>G26</f>
        <v>80.666399999999996</v>
      </c>
      <c r="G26" s="18">
        <f>SUM(K26,M26,O26,Q26,S26,U26,W26,Y26,AA26,AC26,AE26,AG26)</f>
        <v>80.666399999999996</v>
      </c>
      <c r="H26" s="18">
        <f>IFERROR(G26/D26*100,0)</f>
        <v>14.497915168943203</v>
      </c>
      <c r="I26" s="18">
        <f>IFERROR(G26/E26*100,0)</f>
        <v>58.000000000000007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34.306399999999996</v>
      </c>
      <c r="T26" s="19">
        <f>46360/1000</f>
        <v>46.36</v>
      </c>
      <c r="U26" s="19">
        <f>46360/1000</f>
        <v>46.36</v>
      </c>
      <c r="V26" s="19">
        <f>46360/1000</f>
        <v>46.36</v>
      </c>
      <c r="W26" s="19">
        <v>0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58.413599999999988</v>
      </c>
    </row>
    <row r="27" spans="1:35" s="13" customFormat="1" ht="18.75" customHeight="1" x14ac:dyDescent="0.25">
      <c r="A27" s="11" t="s">
        <v>39</v>
      </c>
      <c r="B27" s="67" t="s">
        <v>31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9"/>
      <c r="AH27" s="12"/>
      <c r="AI27" s="20"/>
    </row>
    <row r="28" spans="1:35" s="9" customFormat="1" ht="82.5" customHeight="1" x14ac:dyDescent="0.25">
      <c r="A28" s="65" t="s">
        <v>40</v>
      </c>
      <c r="B28" s="62" t="s">
        <v>41</v>
      </c>
      <c r="C28" s="36" t="s">
        <v>28</v>
      </c>
      <c r="D28" s="37">
        <f>D29</f>
        <v>9452.1</v>
      </c>
      <c r="E28" s="37">
        <f>E29</f>
        <v>4856.0429999999997</v>
      </c>
      <c r="F28" s="37">
        <f t="shared" ref="E28:G30" si="10">F29</f>
        <v>3817.06936</v>
      </c>
      <c r="G28" s="37">
        <f t="shared" si="10"/>
        <v>3817.06936</v>
      </c>
      <c r="H28" s="37">
        <f t="shared" si="2"/>
        <v>40.383294294389607</v>
      </c>
      <c r="I28" s="37">
        <f t="shared" si="3"/>
        <v>78.604521417952853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478.40888000000001</v>
      </c>
      <c r="P28" s="38">
        <f t="shared" si="11"/>
        <v>854.86099999999999</v>
      </c>
      <c r="Q28" s="38">
        <f t="shared" si="11"/>
        <v>517.09622000000002</v>
      </c>
      <c r="R28" s="38">
        <f t="shared" si="11"/>
        <v>711.29399999999998</v>
      </c>
      <c r="S28" s="38">
        <f t="shared" si="11"/>
        <v>493.98712999999998</v>
      </c>
      <c r="T28" s="38">
        <f t="shared" si="11"/>
        <v>649.17899999999997</v>
      </c>
      <c r="U28" s="38">
        <f t="shared" si="11"/>
        <v>744.92723999999998</v>
      </c>
      <c r="V28" s="38">
        <f t="shared" si="11"/>
        <v>854.86099999999999</v>
      </c>
      <c r="W28" s="38">
        <f t="shared" si="11"/>
        <v>0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1038.9736399999997</v>
      </c>
    </row>
    <row r="29" spans="1:35" s="10" customFormat="1" ht="73.5" customHeight="1" x14ac:dyDescent="0.25">
      <c r="A29" s="70"/>
      <c r="B29" s="64"/>
      <c r="C29" s="40" t="s">
        <v>29</v>
      </c>
      <c r="D29" s="41">
        <f>SUM(J29,L29,N29,P29,R29,T29,V29,X29,Z29,AB29,AD29,AF29)</f>
        <v>9452.1</v>
      </c>
      <c r="E29" s="41">
        <f>J29+L29+N29+P29+R29+T29</f>
        <v>4856.0429999999997</v>
      </c>
      <c r="F29" s="41">
        <f>G29</f>
        <v>3817.06936</v>
      </c>
      <c r="G29" s="41">
        <f>SUM(K29,M29,O29,Q29,S29,U29,W29,Y29,AA29,AC29,AE29,AG29)</f>
        <v>3817.06936</v>
      </c>
      <c r="H29" s="41">
        <f>IFERROR(G29/D29*100,0)</f>
        <v>40.383294294389607</v>
      </c>
      <c r="I29" s="41">
        <f>IFERROR(G29/E29*100,0)</f>
        <v>78.604521417952853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f>(380911.12+97497.76)/1000</f>
        <v>478.40888000000001</v>
      </c>
      <c r="P29" s="42">
        <v>854.86099999999999</v>
      </c>
      <c r="Q29" s="42">
        <f>(382336.77+134759.45)/1000</f>
        <v>517.09622000000002</v>
      </c>
      <c r="R29" s="42">
        <v>711.29399999999998</v>
      </c>
      <c r="S29" s="42">
        <f>493987.13/1000</f>
        <v>493.98712999999998</v>
      </c>
      <c r="T29" s="42">
        <v>649.17899999999997</v>
      </c>
      <c r="U29" s="42">
        <f>(624710.22+120217.02)/1000</f>
        <v>744.92723999999998</v>
      </c>
      <c r="V29" s="42">
        <v>854.86099999999999</v>
      </c>
      <c r="W29" s="42">
        <v>0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1038.9736399999997</v>
      </c>
    </row>
    <row r="30" spans="1:35" s="9" customFormat="1" ht="179.25" customHeight="1" x14ac:dyDescent="0.25">
      <c r="A30" s="65" t="s">
        <v>42</v>
      </c>
      <c r="B30" s="62" t="s">
        <v>43</v>
      </c>
      <c r="C30" s="36" t="s">
        <v>28</v>
      </c>
      <c r="D30" s="37">
        <f>D31</f>
        <v>45485.999999999993</v>
      </c>
      <c r="E30" s="37">
        <f t="shared" si="10"/>
        <v>22441.67656</v>
      </c>
      <c r="F30" s="37">
        <f t="shared" si="10"/>
        <v>19116.893480000002</v>
      </c>
      <c r="G30" s="37">
        <f t="shared" si="10"/>
        <v>19116.893480000002</v>
      </c>
      <c r="H30" s="37">
        <f>IFERROR(G30/D30*100,0)</f>
        <v>42.028082223101627</v>
      </c>
      <c r="I30" s="37">
        <f>IFERROR(G30/E30*100,0)</f>
        <v>85.184783003574324</v>
      </c>
      <c r="J30" s="38">
        <f>J31</f>
        <v>3169.7448999999997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3809.0290299999997</v>
      </c>
      <c r="O30" s="38">
        <f t="shared" si="11"/>
        <v>3085.0034700000001</v>
      </c>
      <c r="P30" s="38">
        <f t="shared" si="11"/>
        <v>4045.3388300000001</v>
      </c>
      <c r="Q30" s="38">
        <f t="shared" si="11"/>
        <v>3969.0761000000002</v>
      </c>
      <c r="R30" s="38">
        <f t="shared" si="11"/>
        <v>3835.76683</v>
      </c>
      <c r="S30" s="38">
        <f t="shared" si="11"/>
        <v>4136.6283400000002</v>
      </c>
      <c r="T30" s="38">
        <f t="shared" si="11"/>
        <v>3850.5089400000002</v>
      </c>
      <c r="U30" s="38">
        <f t="shared" si="11"/>
        <v>3333.4733099999999</v>
      </c>
      <c r="V30" s="38">
        <f t="shared" si="11"/>
        <v>4674.6450300000006</v>
      </c>
      <c r="W30" s="38">
        <f t="shared" si="11"/>
        <v>0</v>
      </c>
      <c r="X30" s="38">
        <f t="shared" si="11"/>
        <v>3509.7880299999997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3440.89023</v>
      </c>
      <c r="AE30" s="38">
        <f t="shared" si="11"/>
        <v>0</v>
      </c>
      <c r="AF30" s="38">
        <f t="shared" si="11"/>
        <v>4732.9100899999994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70"/>
      <c r="B31" s="64"/>
      <c r="C31" s="40" t="s">
        <v>29</v>
      </c>
      <c r="D31" s="41">
        <f>SUM(J31,L31,N31,P31,R31,T31,V31,X31,Z31,AB31,AD31,AF31)</f>
        <v>45485.999999999993</v>
      </c>
      <c r="E31" s="41">
        <f>J31+L31+N31+P31+R31+T31</f>
        <v>22441.67656</v>
      </c>
      <c r="F31" s="41">
        <f>G31</f>
        <v>19116.893480000002</v>
      </c>
      <c r="G31" s="41">
        <f>SUM(K31,M31,O31,Q31,S31,U31,W31,Y31,AA31,AC31,AE31,AG31)</f>
        <v>19116.893480000002</v>
      </c>
      <c r="H31" s="41">
        <f>IFERROR(G31/D31*100,0)</f>
        <v>42.028082223101627</v>
      </c>
      <c r="I31" s="41">
        <f>IFERROR(G31/E31*100,0)</f>
        <v>85.184783003574324</v>
      </c>
      <c r="J31" s="42">
        <f>3169744.9/1000</f>
        <v>3169.7448999999997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3809029.03/1000</f>
        <v>3809.0290299999997</v>
      </c>
      <c r="O31" s="42">
        <f>3085003.47/1000</f>
        <v>3085.0034700000001</v>
      </c>
      <c r="P31" s="42">
        <f>4045338.83/1000</f>
        <v>4045.3388300000001</v>
      </c>
      <c r="Q31" s="42">
        <f>3969076.1/1000</f>
        <v>3969.0761000000002</v>
      </c>
      <c r="R31" s="42">
        <f>3835766.83/1000</f>
        <v>3835.76683</v>
      </c>
      <c r="S31" s="42">
        <f>4136628.34/1000</f>
        <v>4136.6283400000002</v>
      </c>
      <c r="T31" s="42">
        <f>3850508.94/1000</f>
        <v>3850.5089400000002</v>
      </c>
      <c r="U31" s="42">
        <f>3333473.31/1000</f>
        <v>3333.4733099999999</v>
      </c>
      <c r="V31" s="42">
        <f>4674645.03/1000</f>
        <v>4674.6450300000006</v>
      </c>
      <c r="W31" s="42">
        <v>0</v>
      </c>
      <c r="X31" s="42">
        <f>3509788.03/1000</f>
        <v>3509.7880299999997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3440890.23/1000</f>
        <v>3440.89023</v>
      </c>
      <c r="AE31" s="42">
        <v>0</v>
      </c>
      <c r="AF31" s="42">
        <f>4732910.09/1000</f>
        <v>4732.9100899999994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2026-07-08T11:44:26Z</dcterms:modified>
</cp:coreProperties>
</file>