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445" windowWidth="14805" windowHeight="5670" firstSheet="2" activeTab="2"/>
  </bookViews>
  <sheets>
    <sheet name="Лист1" sheetId="2" state="hidden" r:id="rId1"/>
    <sheet name="Лист2" sheetId="3" state="hidden" r:id="rId2"/>
    <sheet name="сетевой 2020" sheetId="18" r:id="rId3"/>
  </sheets>
  <definedNames>
    <definedName name="_xlnm.Print_Titles" localSheetId="2">'сетевой 2020'!$A:$A,'сетевой 2020'!$4:$5</definedName>
    <definedName name="_xlnm.Print_Area" localSheetId="2">'сетевой 2020'!$A$2:$AF$117</definedName>
  </definedNames>
  <calcPr calcId="145621"/>
</workbook>
</file>

<file path=xl/calcChain.xml><?xml version="1.0" encoding="utf-8"?>
<calcChain xmlns="http://schemas.openxmlformats.org/spreadsheetml/2006/main">
  <c r="D79" i="18" l="1"/>
  <c r="D19" i="18" l="1"/>
  <c r="G19" i="18"/>
  <c r="K19" i="18"/>
  <c r="C79" i="18"/>
  <c r="C101" i="18"/>
  <c r="C100" i="18"/>
  <c r="C92" i="18"/>
  <c r="C91" i="18"/>
  <c r="C88" i="18"/>
  <c r="C87" i="18"/>
  <c r="C84" i="18"/>
  <c r="C83" i="18"/>
  <c r="C80" i="18"/>
  <c r="C42" i="18"/>
  <c r="C43" i="18"/>
  <c r="C39" i="18"/>
  <c r="C38" i="18"/>
  <c r="C35" i="18"/>
  <c r="C34" i="18"/>
  <c r="C27" i="18"/>
  <c r="C26" i="18"/>
  <c r="C23" i="18"/>
  <c r="C22" i="18"/>
  <c r="C19" i="18"/>
  <c r="C18" i="18"/>
  <c r="C15" i="18"/>
  <c r="C14" i="18"/>
  <c r="AD79" i="18"/>
  <c r="J79" i="18"/>
  <c r="AD39" i="18"/>
  <c r="AB39" i="18"/>
  <c r="L39" i="18"/>
  <c r="J39" i="18"/>
  <c r="H39" i="18"/>
  <c r="T42" i="18"/>
  <c r="Z34" i="18"/>
  <c r="X34" i="18"/>
  <c r="V34" i="18"/>
  <c r="T34" i="18"/>
  <c r="R34" i="18"/>
  <c r="P34" i="18"/>
  <c r="V23" i="18"/>
  <c r="T23" i="18"/>
  <c r="R23" i="18"/>
  <c r="N23" i="18"/>
  <c r="AB19" i="18"/>
  <c r="L19" i="18"/>
  <c r="J19" i="18"/>
  <c r="F100" i="18" l="1"/>
  <c r="F99" i="18"/>
  <c r="G100" i="18"/>
  <c r="G101" i="18"/>
  <c r="G92" i="18"/>
  <c r="G91" i="18"/>
  <c r="F92" i="18"/>
  <c r="F91" i="18"/>
  <c r="F87" i="18"/>
  <c r="G88" i="18"/>
  <c r="G87" i="18"/>
  <c r="F86" i="18"/>
  <c r="G84" i="18"/>
  <c r="G83" i="18"/>
  <c r="F84" i="18"/>
  <c r="G80" i="18"/>
  <c r="F80" i="18"/>
  <c r="G43" i="18"/>
  <c r="G42" i="18"/>
  <c r="F38" i="18"/>
  <c r="G38" i="18"/>
  <c r="G35" i="18"/>
  <c r="F35" i="18"/>
  <c r="G34" i="18"/>
  <c r="F13" i="18"/>
  <c r="F26" i="18"/>
  <c r="G26" i="18"/>
  <c r="G23" i="18"/>
  <c r="G22" i="18"/>
  <c r="F18" i="18"/>
  <c r="G18" i="18"/>
  <c r="G14" i="18"/>
  <c r="G15" i="18"/>
  <c r="I79" i="18"/>
  <c r="D39" i="18" l="1"/>
  <c r="AD100" i="18"/>
  <c r="AB79" i="18"/>
  <c r="Z79" i="18"/>
  <c r="X79" i="18"/>
  <c r="V79" i="18"/>
  <c r="T79" i="18"/>
  <c r="R79" i="18"/>
  <c r="P79" i="18"/>
  <c r="N79" i="18"/>
  <c r="L79" i="18"/>
  <c r="H79" i="18"/>
  <c r="T43" i="18"/>
  <c r="Z38" i="18"/>
  <c r="AD38" i="18"/>
  <c r="AB38" i="18"/>
  <c r="Z39" i="18"/>
  <c r="X39" i="18"/>
  <c r="X38" i="18"/>
  <c r="T39" i="18"/>
  <c r="T38" i="18"/>
  <c r="R39" i="18"/>
  <c r="R38" i="18"/>
  <c r="P39" i="18"/>
  <c r="P38" i="18"/>
  <c r="N39" i="18"/>
  <c r="N38" i="18"/>
  <c r="L38" i="18"/>
  <c r="J38" i="18"/>
  <c r="R35" i="18"/>
  <c r="AB35" i="18"/>
  <c r="Z35" i="18"/>
  <c r="X35" i="18"/>
  <c r="V35" i="18"/>
  <c r="T35" i="18"/>
  <c r="P35" i="18"/>
  <c r="N35" i="18"/>
  <c r="AD18" i="18"/>
  <c r="AB18" i="18"/>
  <c r="Z19" i="18"/>
  <c r="Z18" i="18"/>
  <c r="X19" i="18"/>
  <c r="R18" i="18"/>
  <c r="P19" i="18"/>
  <c r="P18" i="18"/>
  <c r="N19" i="18"/>
  <c r="N18" i="18"/>
  <c r="L18" i="18"/>
  <c r="X14" i="18"/>
  <c r="V15" i="18"/>
  <c r="V14" i="18"/>
  <c r="T15" i="18"/>
  <c r="R15" i="18"/>
  <c r="P15" i="18"/>
  <c r="N15" i="18"/>
  <c r="T14" i="18"/>
  <c r="E104" i="18"/>
  <c r="C104" i="18"/>
  <c r="G104" i="18" s="1"/>
  <c r="J104" i="18" l="1"/>
  <c r="K104" i="18"/>
  <c r="L104" i="18"/>
  <c r="M104" i="18"/>
  <c r="N104" i="18"/>
  <c r="O104" i="18"/>
  <c r="P104" i="18"/>
  <c r="Q104" i="18"/>
  <c r="R104" i="18"/>
  <c r="S104" i="18"/>
  <c r="T104" i="18"/>
  <c r="U104" i="18"/>
  <c r="V104" i="18"/>
  <c r="W104" i="18"/>
  <c r="X104" i="18"/>
  <c r="Y104" i="18"/>
  <c r="Z104" i="18"/>
  <c r="AA104" i="18"/>
  <c r="AB104" i="18"/>
  <c r="AC104" i="18"/>
  <c r="AD104" i="18"/>
  <c r="B104" i="18" s="1"/>
  <c r="AE104" i="18"/>
  <c r="J105" i="18"/>
  <c r="K105" i="18"/>
  <c r="L105" i="18"/>
  <c r="M105" i="18"/>
  <c r="N105" i="18"/>
  <c r="O105" i="18"/>
  <c r="P105" i="18"/>
  <c r="Q105" i="18"/>
  <c r="R105" i="18"/>
  <c r="S105" i="18"/>
  <c r="T105" i="18"/>
  <c r="U105" i="18"/>
  <c r="V105" i="18"/>
  <c r="W105" i="18"/>
  <c r="X105" i="18"/>
  <c r="Y105" i="18"/>
  <c r="Z105" i="18"/>
  <c r="AA105" i="18"/>
  <c r="AB105" i="18"/>
  <c r="AC105" i="18"/>
  <c r="AD105" i="18"/>
  <c r="AE105" i="18"/>
  <c r="I105" i="18"/>
  <c r="E105" i="18" s="1"/>
  <c r="E103" i="18" s="1"/>
  <c r="H105" i="18"/>
  <c r="I104" i="18"/>
  <c r="H104" i="18"/>
  <c r="C105" i="18"/>
  <c r="D105" i="18"/>
  <c r="D104" i="18"/>
  <c r="I95" i="18"/>
  <c r="AE103" i="18"/>
  <c r="AD103" i="18"/>
  <c r="AC103" i="18"/>
  <c r="AB103" i="18"/>
  <c r="AA103" i="18"/>
  <c r="Z103" i="18"/>
  <c r="Y103" i="18"/>
  <c r="X103" i="18"/>
  <c r="W103" i="18"/>
  <c r="V103" i="18"/>
  <c r="U103" i="18"/>
  <c r="T103" i="18"/>
  <c r="S103" i="18"/>
  <c r="R103" i="18"/>
  <c r="Q103" i="18"/>
  <c r="P103" i="18"/>
  <c r="O103" i="18"/>
  <c r="N103" i="18"/>
  <c r="M103" i="18"/>
  <c r="L103" i="18"/>
  <c r="K103" i="18"/>
  <c r="J103" i="18"/>
  <c r="I103" i="18"/>
  <c r="H103" i="18"/>
  <c r="J99" i="18"/>
  <c r="K99" i="18"/>
  <c r="L99" i="18"/>
  <c r="M99" i="18"/>
  <c r="N99" i="18"/>
  <c r="O99" i="18"/>
  <c r="P99" i="18"/>
  <c r="Q99" i="18"/>
  <c r="R99" i="18"/>
  <c r="S99" i="18"/>
  <c r="T99" i="18"/>
  <c r="U99" i="18"/>
  <c r="V99" i="18"/>
  <c r="W99" i="18"/>
  <c r="X99" i="18"/>
  <c r="Y99" i="18"/>
  <c r="Z99" i="18"/>
  <c r="AA99" i="18"/>
  <c r="AB99" i="18"/>
  <c r="AC99" i="18"/>
  <c r="AD99" i="18"/>
  <c r="AE99" i="18"/>
  <c r="I99" i="18"/>
  <c r="H99" i="18"/>
  <c r="B105" i="18"/>
  <c r="D103" i="18"/>
  <c r="E101" i="18"/>
  <c r="E100" i="18"/>
  <c r="B99" i="18"/>
  <c r="C99" i="18"/>
  <c r="G99" i="18" s="1"/>
  <c r="D99" i="18"/>
  <c r="E99" i="18"/>
  <c r="B101" i="18"/>
  <c r="B100" i="18"/>
  <c r="J95" i="18"/>
  <c r="J94" i="18" s="1"/>
  <c r="K95" i="18"/>
  <c r="L95" i="18"/>
  <c r="M95" i="18"/>
  <c r="N95" i="18"/>
  <c r="N94" i="18" s="1"/>
  <c r="O95" i="18"/>
  <c r="P95" i="18"/>
  <c r="Q95" i="18"/>
  <c r="R95" i="18"/>
  <c r="R94" i="18" s="1"/>
  <c r="S95" i="18"/>
  <c r="T95" i="18"/>
  <c r="U95" i="18"/>
  <c r="V95" i="18"/>
  <c r="V94" i="18" s="1"/>
  <c r="W95" i="18"/>
  <c r="X95" i="18"/>
  <c r="Y95" i="18"/>
  <c r="Z95" i="18"/>
  <c r="AA95" i="18"/>
  <c r="AB95" i="18"/>
  <c r="AC95" i="18"/>
  <c r="AD95" i="18"/>
  <c r="AD94" i="18" s="1"/>
  <c r="AE95" i="18"/>
  <c r="J96" i="18"/>
  <c r="K96" i="18"/>
  <c r="K94" i="18" s="1"/>
  <c r="L96" i="18"/>
  <c r="L94" i="18" s="1"/>
  <c r="M96" i="18"/>
  <c r="N96" i="18"/>
  <c r="O96" i="18"/>
  <c r="O94" i="18" s="1"/>
  <c r="P96" i="18"/>
  <c r="P94" i="18" s="1"/>
  <c r="Q96" i="18"/>
  <c r="R96" i="18"/>
  <c r="S96" i="18"/>
  <c r="S94" i="18" s="1"/>
  <c r="T96" i="18"/>
  <c r="U96" i="18"/>
  <c r="V96" i="18"/>
  <c r="W96" i="18"/>
  <c r="W94" i="18" s="1"/>
  <c r="X96" i="18"/>
  <c r="X94" i="18" s="1"/>
  <c r="Y96" i="18"/>
  <c r="Z96" i="18"/>
  <c r="AA96" i="18"/>
  <c r="AA94" i="18" s="1"/>
  <c r="AB96" i="18"/>
  <c r="AB94" i="18" s="1"/>
  <c r="AC96" i="18"/>
  <c r="AD96" i="18"/>
  <c r="AE96" i="18"/>
  <c r="AE94" i="18" s="1"/>
  <c r="I96" i="18"/>
  <c r="H96" i="18"/>
  <c r="H94" i="18" s="1"/>
  <c r="H95" i="18"/>
  <c r="D95" i="18"/>
  <c r="D96" i="18"/>
  <c r="C96" i="18"/>
  <c r="G96" i="18" s="1"/>
  <c r="C95" i="18"/>
  <c r="M94" i="18"/>
  <c r="Q94" i="18"/>
  <c r="U94" i="18"/>
  <c r="Y94" i="18"/>
  <c r="Z94" i="18"/>
  <c r="AC94" i="18"/>
  <c r="I90" i="18"/>
  <c r="J90" i="18"/>
  <c r="K90" i="18"/>
  <c r="L90" i="18"/>
  <c r="M90" i="18"/>
  <c r="N90" i="18"/>
  <c r="O90" i="18"/>
  <c r="P90" i="18"/>
  <c r="Q90" i="18"/>
  <c r="R90" i="18"/>
  <c r="S90" i="18"/>
  <c r="T90" i="18"/>
  <c r="U90" i="18"/>
  <c r="V90" i="18"/>
  <c r="W90" i="18"/>
  <c r="X90" i="18"/>
  <c r="Y90" i="18"/>
  <c r="Z90" i="18"/>
  <c r="AA90" i="18"/>
  <c r="AB90" i="18"/>
  <c r="AC90" i="18"/>
  <c r="AD90" i="18"/>
  <c r="AE90" i="18"/>
  <c r="H90" i="18"/>
  <c r="H86" i="18"/>
  <c r="AE86" i="18"/>
  <c r="AD86" i="18"/>
  <c r="AC86" i="18"/>
  <c r="AB86" i="18"/>
  <c r="AA86" i="18"/>
  <c r="Z86" i="18"/>
  <c r="Y86" i="18"/>
  <c r="X86" i="18"/>
  <c r="W86" i="18"/>
  <c r="V86" i="18"/>
  <c r="U86" i="18"/>
  <c r="T86" i="18"/>
  <c r="S86" i="18"/>
  <c r="R86" i="18"/>
  <c r="Q86" i="18"/>
  <c r="P86" i="18"/>
  <c r="O86" i="18"/>
  <c r="N86" i="18"/>
  <c r="M86" i="18"/>
  <c r="L86" i="18"/>
  <c r="K86" i="18"/>
  <c r="J86" i="18"/>
  <c r="I86" i="18"/>
  <c r="AE82" i="18"/>
  <c r="AD82" i="18"/>
  <c r="AC82" i="18"/>
  <c r="AB82" i="18"/>
  <c r="AA82" i="18"/>
  <c r="Z82" i="18"/>
  <c r="Y82" i="18"/>
  <c r="X82" i="18"/>
  <c r="W82" i="18"/>
  <c r="V82" i="18"/>
  <c r="U82" i="18"/>
  <c r="T82" i="18"/>
  <c r="S82" i="18"/>
  <c r="R82" i="18"/>
  <c r="Q82" i="18"/>
  <c r="P82" i="18"/>
  <c r="O82" i="18"/>
  <c r="N82" i="18"/>
  <c r="M82" i="18"/>
  <c r="L82" i="18"/>
  <c r="K82" i="18"/>
  <c r="J82" i="18"/>
  <c r="I82" i="18"/>
  <c r="H82" i="18"/>
  <c r="I78" i="18"/>
  <c r="J78" i="18"/>
  <c r="K78" i="18"/>
  <c r="L78" i="18"/>
  <c r="M78" i="18"/>
  <c r="N78" i="18"/>
  <c r="O78" i="18"/>
  <c r="P78" i="18"/>
  <c r="Q78" i="18"/>
  <c r="R78" i="18"/>
  <c r="S78" i="18"/>
  <c r="T78" i="18"/>
  <c r="U78" i="18"/>
  <c r="V78" i="18"/>
  <c r="W78" i="18"/>
  <c r="X78" i="18"/>
  <c r="Y78" i="18"/>
  <c r="Z78" i="18"/>
  <c r="AA78" i="18"/>
  <c r="AB78" i="18"/>
  <c r="AC78" i="18"/>
  <c r="AD78" i="18"/>
  <c r="AE78" i="18"/>
  <c r="H78" i="18"/>
  <c r="D78" i="18"/>
  <c r="E91" i="18"/>
  <c r="B91" i="18"/>
  <c r="C90" i="18"/>
  <c r="G90" i="18" s="1"/>
  <c r="E92" i="18"/>
  <c r="B92" i="18"/>
  <c r="B90" i="18" s="1"/>
  <c r="E90" i="18"/>
  <c r="D90" i="18"/>
  <c r="E88" i="18"/>
  <c r="B88" i="18"/>
  <c r="B86" i="18" s="1"/>
  <c r="E87" i="18"/>
  <c r="E86" i="18" s="1"/>
  <c r="B87" i="18"/>
  <c r="D86" i="18"/>
  <c r="C86" i="18"/>
  <c r="G86" i="18" s="1"/>
  <c r="E83" i="18"/>
  <c r="B83" i="18"/>
  <c r="B82" i="18"/>
  <c r="E84" i="18"/>
  <c r="B84" i="18"/>
  <c r="E82" i="18"/>
  <c r="D82" i="18"/>
  <c r="C82" i="18"/>
  <c r="G82" i="18" s="1"/>
  <c r="E80" i="18"/>
  <c r="E79" i="18"/>
  <c r="C78" i="18"/>
  <c r="B79" i="18"/>
  <c r="B80" i="18"/>
  <c r="I45" i="18"/>
  <c r="J45" i="18"/>
  <c r="K45" i="18"/>
  <c r="K10" i="18" s="1"/>
  <c r="K74" i="18" s="1"/>
  <c r="K108" i="18" s="1"/>
  <c r="L45" i="18"/>
  <c r="M45" i="18"/>
  <c r="N45" i="18"/>
  <c r="N10" i="18" s="1"/>
  <c r="N74" i="18" s="1"/>
  <c r="O45" i="18"/>
  <c r="O10" i="18" s="1"/>
  <c r="O74" i="18" s="1"/>
  <c r="O108" i="18" s="1"/>
  <c r="P45" i="18"/>
  <c r="Q45" i="18"/>
  <c r="R45" i="18"/>
  <c r="S45" i="18"/>
  <c r="S10" i="18" s="1"/>
  <c r="S74" i="18" s="1"/>
  <c r="S108" i="18" s="1"/>
  <c r="T45" i="18"/>
  <c r="T10" i="18" s="1"/>
  <c r="T74" i="18" s="1"/>
  <c r="T108" i="18" s="1"/>
  <c r="U45" i="18"/>
  <c r="V45" i="18"/>
  <c r="W45" i="18"/>
  <c r="W10" i="18" s="1"/>
  <c r="W74" i="18" s="1"/>
  <c r="W108" i="18" s="1"/>
  <c r="X45" i="18"/>
  <c r="Y45" i="18"/>
  <c r="Z45" i="18"/>
  <c r="AA45" i="18"/>
  <c r="AA10" i="18" s="1"/>
  <c r="AA74" i="18" s="1"/>
  <c r="AA108" i="18" s="1"/>
  <c r="AB45" i="18"/>
  <c r="AC45" i="18"/>
  <c r="AD45" i="18"/>
  <c r="AE45" i="18"/>
  <c r="AE10" i="18" s="1"/>
  <c r="AE74" i="18" s="1"/>
  <c r="AE108" i="18" s="1"/>
  <c r="I46" i="18"/>
  <c r="J46" i="18"/>
  <c r="J44" i="18" s="1"/>
  <c r="K46" i="18"/>
  <c r="L46" i="18"/>
  <c r="M46" i="18"/>
  <c r="N46" i="18"/>
  <c r="O46" i="18"/>
  <c r="P46" i="18"/>
  <c r="Q46" i="18"/>
  <c r="R46" i="18"/>
  <c r="S46" i="18"/>
  <c r="T46" i="18"/>
  <c r="U46" i="18"/>
  <c r="V46" i="18"/>
  <c r="W46" i="18"/>
  <c r="X46" i="18"/>
  <c r="Y46" i="18"/>
  <c r="Z46" i="18"/>
  <c r="AA46" i="18"/>
  <c r="AB46" i="18"/>
  <c r="AB44" i="18" s="1"/>
  <c r="AC46" i="18"/>
  <c r="AD46" i="18"/>
  <c r="AE46" i="18"/>
  <c r="H46" i="18"/>
  <c r="H45" i="18"/>
  <c r="H10" i="18" s="1"/>
  <c r="H74" i="18" s="1"/>
  <c r="C45" i="18"/>
  <c r="G45" i="18" s="1"/>
  <c r="I10" i="18"/>
  <c r="I74" i="18" s="1"/>
  <c r="J10" i="18"/>
  <c r="J74" i="18" s="1"/>
  <c r="J108" i="18" s="1"/>
  <c r="L10" i="18"/>
  <c r="L74" i="18" s="1"/>
  <c r="L108" i="18" s="1"/>
  <c r="M10" i="18"/>
  <c r="M74" i="18" s="1"/>
  <c r="M108" i="18" s="1"/>
  <c r="Q10" i="18"/>
  <c r="Q74" i="18" s="1"/>
  <c r="Q108" i="18" s="1"/>
  <c r="U10" i="18"/>
  <c r="U74" i="18" s="1"/>
  <c r="U108" i="18" s="1"/>
  <c r="Y10" i="18"/>
  <c r="Y74" i="18" s="1"/>
  <c r="Y108" i="18" s="1"/>
  <c r="AC10" i="18"/>
  <c r="AC74" i="18" s="1"/>
  <c r="AC108" i="18" s="1"/>
  <c r="K11" i="18"/>
  <c r="K75" i="18" s="1"/>
  <c r="K109" i="18" s="1"/>
  <c r="S11" i="18"/>
  <c r="S75" i="18" s="1"/>
  <c r="S109" i="18" s="1"/>
  <c r="AA11" i="18"/>
  <c r="AA75" i="18" s="1"/>
  <c r="AA109" i="18" s="1"/>
  <c r="D10" i="18"/>
  <c r="D74" i="18" s="1"/>
  <c r="C46" i="18"/>
  <c r="D46" i="18"/>
  <c r="D45" i="18"/>
  <c r="B43" i="18"/>
  <c r="K44" i="18"/>
  <c r="L44" i="18"/>
  <c r="M44" i="18"/>
  <c r="O44" i="18"/>
  <c r="Q44" i="18"/>
  <c r="S44" i="18"/>
  <c r="U44" i="18"/>
  <c r="V44" i="18"/>
  <c r="W44" i="18"/>
  <c r="Y44" i="18"/>
  <c r="AA44" i="18"/>
  <c r="AC44" i="18"/>
  <c r="AE44" i="18"/>
  <c r="E42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AD41" i="18"/>
  <c r="AE41" i="18"/>
  <c r="H41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AD37" i="18"/>
  <c r="AE37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AB33" i="18"/>
  <c r="AC33" i="18"/>
  <c r="AD33" i="18"/>
  <c r="AE33" i="18"/>
  <c r="H33" i="18"/>
  <c r="C33" i="18"/>
  <c r="G33" i="18" s="1"/>
  <c r="E38" i="18"/>
  <c r="B38" i="18"/>
  <c r="E43" i="18"/>
  <c r="E41" i="18"/>
  <c r="B42" i="18"/>
  <c r="B41" i="18" s="1"/>
  <c r="F41" i="18" s="1"/>
  <c r="D41" i="18"/>
  <c r="C41" i="18"/>
  <c r="G41" i="18" s="1"/>
  <c r="E39" i="18"/>
  <c r="B39" i="18"/>
  <c r="F39" i="18" s="1"/>
  <c r="D37" i="18"/>
  <c r="C37" i="18"/>
  <c r="E35" i="18"/>
  <c r="B35" i="18"/>
  <c r="E34" i="18"/>
  <c r="E33" i="18" s="1"/>
  <c r="B34" i="18"/>
  <c r="F34" i="18" s="1"/>
  <c r="D33" i="18"/>
  <c r="H29" i="18"/>
  <c r="I29" i="18"/>
  <c r="J29" i="18"/>
  <c r="K29" i="18"/>
  <c r="L29" i="18"/>
  <c r="M29" i="18"/>
  <c r="N29" i="18"/>
  <c r="O29" i="18"/>
  <c r="O28" i="18" s="1"/>
  <c r="P29" i="18"/>
  <c r="P10" i="18" s="1"/>
  <c r="P74" i="18" s="1"/>
  <c r="P108" i="18" s="1"/>
  <c r="Q29" i="18"/>
  <c r="R29" i="18"/>
  <c r="S29" i="18"/>
  <c r="S28" i="18" s="1"/>
  <c r="T29" i="18"/>
  <c r="U29" i="18"/>
  <c r="V29" i="18"/>
  <c r="W29" i="18"/>
  <c r="W28" i="18" s="1"/>
  <c r="X29" i="18"/>
  <c r="Y29" i="18"/>
  <c r="Z29" i="18"/>
  <c r="AA29" i="18"/>
  <c r="AA28" i="18" s="1"/>
  <c r="AB29" i="18"/>
  <c r="AB10" i="18" s="1"/>
  <c r="AB74" i="18" s="1"/>
  <c r="AB108" i="18" s="1"/>
  <c r="AC29" i="18"/>
  <c r="AD29" i="18"/>
  <c r="AE29" i="18"/>
  <c r="AE28" i="18" s="1"/>
  <c r="I30" i="18"/>
  <c r="J30" i="18"/>
  <c r="J11" i="18" s="1"/>
  <c r="J75" i="18" s="1"/>
  <c r="J109" i="18" s="1"/>
  <c r="K30" i="18"/>
  <c r="L30" i="18"/>
  <c r="L28" i="18" s="1"/>
  <c r="M30" i="18"/>
  <c r="M11" i="18" s="1"/>
  <c r="M75" i="18" s="1"/>
  <c r="M109" i="18" s="1"/>
  <c r="N30" i="18"/>
  <c r="O30" i="18"/>
  <c r="O11" i="18" s="1"/>
  <c r="O75" i="18" s="1"/>
  <c r="O109" i="18" s="1"/>
  <c r="P30" i="18"/>
  <c r="P28" i="18" s="1"/>
  <c r="Q30" i="18"/>
  <c r="Q11" i="18" s="1"/>
  <c r="Q75" i="18" s="1"/>
  <c r="Q109" i="18" s="1"/>
  <c r="R30" i="18"/>
  <c r="R11" i="18" s="1"/>
  <c r="R75" i="18" s="1"/>
  <c r="R109" i="18" s="1"/>
  <c r="S30" i="18"/>
  <c r="T30" i="18"/>
  <c r="T28" i="18" s="1"/>
  <c r="U30" i="18"/>
  <c r="U11" i="18" s="1"/>
  <c r="U75" i="18" s="1"/>
  <c r="U109" i="18" s="1"/>
  <c r="V30" i="18"/>
  <c r="W30" i="18"/>
  <c r="W11" i="18" s="1"/>
  <c r="W75" i="18" s="1"/>
  <c r="W109" i="18" s="1"/>
  <c r="X30" i="18"/>
  <c r="X28" i="18" s="1"/>
  <c r="Y30" i="18"/>
  <c r="Y11" i="18" s="1"/>
  <c r="Y75" i="18" s="1"/>
  <c r="Y109" i="18" s="1"/>
  <c r="Z30" i="18"/>
  <c r="AA30" i="18"/>
  <c r="AB30" i="18"/>
  <c r="AC30" i="18"/>
  <c r="AC11" i="18" s="1"/>
  <c r="AC75" i="18" s="1"/>
  <c r="AC109" i="18" s="1"/>
  <c r="AD30" i="18"/>
  <c r="AE30" i="18"/>
  <c r="AE11" i="18" s="1"/>
  <c r="AE75" i="18" s="1"/>
  <c r="AE109" i="18" s="1"/>
  <c r="H30" i="18"/>
  <c r="H11" i="18" s="1"/>
  <c r="H75" i="18" s="1"/>
  <c r="H109" i="18" s="1"/>
  <c r="C30" i="18"/>
  <c r="C29" i="18"/>
  <c r="D30" i="18"/>
  <c r="D29" i="18"/>
  <c r="I28" i="18"/>
  <c r="D28" i="18"/>
  <c r="B26" i="18"/>
  <c r="H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E18" i="18"/>
  <c r="E22" i="18"/>
  <c r="E14" i="18"/>
  <c r="B14" i="18"/>
  <c r="E27" i="18"/>
  <c r="B27" i="18"/>
  <c r="E26" i="18"/>
  <c r="E25" i="18" s="1"/>
  <c r="D25" i="18"/>
  <c r="C25" i="18"/>
  <c r="E23" i="18"/>
  <c r="B23" i="18"/>
  <c r="B21" i="18" s="1"/>
  <c r="E21" i="18"/>
  <c r="B22" i="18"/>
  <c r="D21" i="18"/>
  <c r="C21" i="18"/>
  <c r="G21" i="18" s="1"/>
  <c r="E19" i="18"/>
  <c r="B19" i="18"/>
  <c r="F19" i="18" s="1"/>
  <c r="E17" i="18"/>
  <c r="B18" i="18"/>
  <c r="D17" i="18"/>
  <c r="C17" i="18"/>
  <c r="E15" i="18"/>
  <c r="B15" i="18"/>
  <c r="E13" i="18"/>
  <c r="D13" i="18"/>
  <c r="C13" i="18"/>
  <c r="G13" i="18" s="1"/>
  <c r="E78" i="18" l="1"/>
  <c r="G79" i="18"/>
  <c r="G95" i="18"/>
  <c r="G78" i="18"/>
  <c r="E37" i="18"/>
  <c r="G39" i="18"/>
  <c r="G25" i="18"/>
  <c r="H28" i="18"/>
  <c r="P11" i="18"/>
  <c r="P75" i="18" s="1"/>
  <c r="P109" i="18" s="1"/>
  <c r="P107" i="18" s="1"/>
  <c r="AE107" i="18"/>
  <c r="W107" i="18"/>
  <c r="AA107" i="18"/>
  <c r="E30" i="18"/>
  <c r="G30" i="18" s="1"/>
  <c r="AD28" i="18"/>
  <c r="M107" i="18"/>
  <c r="AD11" i="18"/>
  <c r="AD75" i="18" s="1"/>
  <c r="AD109" i="18" s="1"/>
  <c r="G27" i="18"/>
  <c r="AC28" i="18"/>
  <c r="Y28" i="18"/>
  <c r="U28" i="18"/>
  <c r="Q28" i="18"/>
  <c r="M28" i="18"/>
  <c r="Y107" i="18"/>
  <c r="I11" i="18"/>
  <c r="I75" i="18" s="1"/>
  <c r="I109" i="18" s="1"/>
  <c r="E109" i="18" s="1"/>
  <c r="D11" i="18"/>
  <c r="D75" i="18" s="1"/>
  <c r="D109" i="18" s="1"/>
  <c r="K28" i="18"/>
  <c r="G17" i="18"/>
  <c r="C103" i="18"/>
  <c r="G103" i="18" s="1"/>
  <c r="G105" i="18"/>
  <c r="B78" i="18"/>
  <c r="F78" i="18" s="1"/>
  <c r="F79" i="18"/>
  <c r="AD44" i="18"/>
  <c r="D44" i="18"/>
  <c r="X10" i="18"/>
  <c r="X74" i="18" s="1"/>
  <c r="X108" i="18" s="1"/>
  <c r="X44" i="18"/>
  <c r="B25" i="18"/>
  <c r="F25" i="18" s="1"/>
  <c r="F27" i="18"/>
  <c r="J28" i="18"/>
  <c r="AC107" i="18"/>
  <c r="U107" i="18"/>
  <c r="O107" i="18"/>
  <c r="S107" i="18"/>
  <c r="Q107" i="18"/>
  <c r="K107" i="18"/>
  <c r="H108" i="18"/>
  <c r="H107" i="18" s="1"/>
  <c r="I108" i="18"/>
  <c r="E108" i="18" s="1"/>
  <c r="D108" i="18"/>
  <c r="D107" i="18" s="1"/>
  <c r="C44" i="18"/>
  <c r="C11" i="18"/>
  <c r="C75" i="18" s="1"/>
  <c r="C109" i="18" s="1"/>
  <c r="C28" i="18"/>
  <c r="C10" i="18"/>
  <c r="C74" i="18" s="1"/>
  <c r="C108" i="18" s="1"/>
  <c r="C94" i="18"/>
  <c r="D94" i="18"/>
  <c r="E46" i="18"/>
  <c r="I44" i="18"/>
  <c r="T94" i="18"/>
  <c r="N108" i="18"/>
  <c r="B95" i="18"/>
  <c r="Z44" i="18"/>
  <c r="T44" i="18"/>
  <c r="N11" i="18"/>
  <c r="N75" i="18" s="1"/>
  <c r="N109" i="18" s="1"/>
  <c r="N107" i="18" s="1"/>
  <c r="N44" i="18"/>
  <c r="B37" i="18"/>
  <c r="J107" i="18"/>
  <c r="H9" i="18"/>
  <c r="H73" i="18" s="1"/>
  <c r="Z11" i="18"/>
  <c r="Z75" i="18" s="1"/>
  <c r="Z109" i="18" s="1"/>
  <c r="V11" i="18"/>
  <c r="V75" i="18" s="1"/>
  <c r="V109" i="18" s="1"/>
  <c r="B45" i="18"/>
  <c r="F45" i="18" s="1"/>
  <c r="B33" i="18"/>
  <c r="F33" i="18" s="1"/>
  <c r="R44" i="18"/>
  <c r="P44" i="18"/>
  <c r="AD10" i="18"/>
  <c r="AD74" i="18" s="1"/>
  <c r="AD108" i="18" s="1"/>
  <c r="AB11" i="18"/>
  <c r="AB75" i="18" s="1"/>
  <c r="AB109" i="18" s="1"/>
  <c r="AB107" i="18" s="1"/>
  <c r="AB28" i="18"/>
  <c r="Z28" i="18"/>
  <c r="B29" i="18"/>
  <c r="Z10" i="18"/>
  <c r="Z74" i="18" s="1"/>
  <c r="Z108" i="18" s="1"/>
  <c r="X11" i="18"/>
  <c r="X75" i="18" s="1"/>
  <c r="X109" i="18" s="1"/>
  <c r="X107" i="18" s="1"/>
  <c r="R10" i="18"/>
  <c r="R74" i="18" s="1"/>
  <c r="R108" i="18" s="1"/>
  <c r="R107" i="18" s="1"/>
  <c r="B17" i="18"/>
  <c r="F17" i="18" s="1"/>
  <c r="L11" i="18"/>
  <c r="L75" i="18" s="1"/>
  <c r="L109" i="18" s="1"/>
  <c r="L107" i="18" s="1"/>
  <c r="V28" i="18"/>
  <c r="B13" i="18"/>
  <c r="V10" i="18"/>
  <c r="V74" i="18" s="1"/>
  <c r="V108" i="18" s="1"/>
  <c r="T11" i="18"/>
  <c r="T75" i="18" s="1"/>
  <c r="T109" i="18" s="1"/>
  <c r="T107" i="18" s="1"/>
  <c r="R28" i="18"/>
  <c r="B30" i="18"/>
  <c r="F30" i="18" s="1"/>
  <c r="N28" i="18"/>
  <c r="B103" i="18"/>
  <c r="F103" i="18" s="1"/>
  <c r="E96" i="18"/>
  <c r="F96" i="18" s="1"/>
  <c r="E95" i="18"/>
  <c r="I94" i="18"/>
  <c r="B96" i="18"/>
  <c r="E10" i="18"/>
  <c r="E11" i="18"/>
  <c r="B46" i="18"/>
  <c r="E45" i="18"/>
  <c r="H44" i="18"/>
  <c r="E29" i="18"/>
  <c r="F104" i="18"/>
  <c r="F105" i="18"/>
  <c r="F101" i="18"/>
  <c r="F90" i="18"/>
  <c r="F88" i="18"/>
  <c r="F83" i="18"/>
  <c r="F82" i="18"/>
  <c r="F42" i="18"/>
  <c r="F43" i="18"/>
  <c r="F22" i="18"/>
  <c r="F23" i="18"/>
  <c r="F21" i="18"/>
  <c r="F14" i="18"/>
  <c r="F15" i="18"/>
  <c r="M9" i="18"/>
  <c r="M73" i="18" s="1"/>
  <c r="O9" i="18"/>
  <c r="O73" i="18" s="1"/>
  <c r="Q9" i="18"/>
  <c r="Q73" i="18" s="1"/>
  <c r="S9" i="18"/>
  <c r="S73" i="18" s="1"/>
  <c r="U9" i="18"/>
  <c r="U73" i="18" s="1"/>
  <c r="W9" i="18"/>
  <c r="W73" i="18" s="1"/>
  <c r="Y9" i="18"/>
  <c r="Y73" i="18" s="1"/>
  <c r="AA9" i="18"/>
  <c r="AA73" i="18" s="1"/>
  <c r="AC9" i="18"/>
  <c r="AC73" i="18" s="1"/>
  <c r="AE9" i="18"/>
  <c r="AE73" i="18" s="1"/>
  <c r="K9" i="18"/>
  <c r="K73" i="18" s="1"/>
  <c r="J9" i="18"/>
  <c r="J73" i="18" s="1"/>
  <c r="D9" i="18"/>
  <c r="D73" i="18" s="1"/>
  <c r="AD107" i="18" l="1"/>
  <c r="E44" i="18"/>
  <c r="F46" i="18"/>
  <c r="G37" i="18"/>
  <c r="G46" i="18"/>
  <c r="F37" i="18"/>
  <c r="G44" i="18"/>
  <c r="AD9" i="18"/>
  <c r="AD73" i="18" s="1"/>
  <c r="P9" i="18"/>
  <c r="P73" i="18" s="1"/>
  <c r="I9" i="18"/>
  <c r="I73" i="18" s="1"/>
  <c r="V107" i="18"/>
  <c r="I107" i="18"/>
  <c r="E107" i="18"/>
  <c r="F95" i="18"/>
  <c r="AB9" i="18"/>
  <c r="AB73" i="18" s="1"/>
  <c r="L9" i="18"/>
  <c r="L73" i="18" s="1"/>
  <c r="E75" i="18"/>
  <c r="G11" i="18"/>
  <c r="Z107" i="18"/>
  <c r="G10" i="18"/>
  <c r="E74" i="18"/>
  <c r="Z9" i="18"/>
  <c r="Z73" i="18" s="1"/>
  <c r="N9" i="18"/>
  <c r="N73" i="18" s="1"/>
  <c r="G109" i="18"/>
  <c r="G108" i="18"/>
  <c r="E28" i="18"/>
  <c r="G29" i="18"/>
  <c r="C107" i="18"/>
  <c r="G107" i="18" s="1"/>
  <c r="C9" i="18"/>
  <c r="C73" i="18" s="1"/>
  <c r="B94" i="18"/>
  <c r="F94" i="18" s="1"/>
  <c r="B44" i="18"/>
  <c r="F44" i="18" s="1"/>
  <c r="T9" i="18"/>
  <c r="T73" i="18" s="1"/>
  <c r="X9" i="18"/>
  <c r="X73" i="18" s="1"/>
  <c r="B109" i="18"/>
  <c r="F109" i="18" s="1"/>
  <c r="B10" i="18"/>
  <c r="B74" i="18" s="1"/>
  <c r="R9" i="18"/>
  <c r="R73" i="18" s="1"/>
  <c r="B108" i="18"/>
  <c r="F108" i="18" s="1"/>
  <c r="V9" i="18"/>
  <c r="V73" i="18" s="1"/>
  <c r="B11" i="18"/>
  <c r="B75" i="18" s="1"/>
  <c r="B28" i="18"/>
  <c r="E94" i="18"/>
  <c r="G94" i="18" s="1"/>
  <c r="E9" i="18"/>
  <c r="F29" i="18"/>
  <c r="F10" i="18" l="1"/>
  <c r="G28" i="18"/>
  <c r="F28" i="18"/>
  <c r="G75" i="18"/>
  <c r="F75" i="18"/>
  <c r="E73" i="18"/>
  <c r="G73" i="18" s="1"/>
  <c r="G9" i="18"/>
  <c r="G74" i="18"/>
  <c r="F74" i="18"/>
  <c r="F11" i="18"/>
  <c r="B9" i="18"/>
  <c r="B73" i="18" s="1"/>
  <c r="B107" i="18"/>
  <c r="F107" i="18" s="1"/>
  <c r="F9" i="18" l="1"/>
  <c r="F73" i="18"/>
  <c r="H69" i="18"/>
  <c r="I69" i="18"/>
  <c r="J69" i="18"/>
  <c r="K69" i="18"/>
  <c r="L69" i="18"/>
  <c r="M69" i="18"/>
  <c r="N69" i="18"/>
  <c r="O69" i="18"/>
  <c r="P69" i="18"/>
  <c r="Q69" i="18"/>
  <c r="R69" i="18"/>
  <c r="S69" i="18"/>
  <c r="T69" i="18"/>
  <c r="U69" i="18"/>
  <c r="V69" i="18"/>
  <c r="W69" i="18"/>
  <c r="X69" i="18"/>
  <c r="Y69" i="18"/>
  <c r="Z69" i="18"/>
  <c r="AA69" i="18"/>
  <c r="AB69" i="18"/>
  <c r="AC69" i="18"/>
  <c r="AD69" i="18"/>
  <c r="AE69" i="18"/>
  <c r="H70" i="18"/>
  <c r="I70" i="18"/>
  <c r="J70" i="18"/>
  <c r="K70" i="18"/>
  <c r="L70" i="18"/>
  <c r="M70" i="18"/>
  <c r="N70" i="18"/>
  <c r="O70" i="18"/>
  <c r="P70" i="18"/>
  <c r="Q70" i="18"/>
  <c r="R70" i="18"/>
  <c r="S70" i="18"/>
  <c r="T70" i="18"/>
  <c r="U70" i="18"/>
  <c r="V70" i="18"/>
  <c r="W70" i="18"/>
  <c r="X70" i="18"/>
  <c r="Y70" i="18"/>
  <c r="Z70" i="18"/>
  <c r="AA70" i="18"/>
  <c r="AB70" i="18"/>
  <c r="AC70" i="18"/>
  <c r="AD70" i="18"/>
  <c r="AE70" i="18"/>
  <c r="H71" i="18"/>
  <c r="I71" i="18"/>
  <c r="J71" i="18"/>
  <c r="K71" i="18"/>
  <c r="L71" i="18"/>
  <c r="M71" i="18"/>
  <c r="N71" i="18"/>
  <c r="O71" i="18"/>
  <c r="P71" i="18"/>
  <c r="Q71" i="18"/>
  <c r="R71" i="18"/>
  <c r="S71" i="18"/>
  <c r="T71" i="18"/>
  <c r="U71" i="18"/>
  <c r="V71" i="18"/>
  <c r="W71" i="18"/>
  <c r="X71" i="18"/>
  <c r="Y71" i="18"/>
  <c r="Z71" i="18"/>
  <c r="AA71" i="18"/>
  <c r="AB71" i="18"/>
  <c r="AC71" i="18"/>
  <c r="AD71" i="18"/>
  <c r="AE71" i="18"/>
  <c r="I66" i="18"/>
  <c r="J66" i="18"/>
  <c r="K66" i="18"/>
  <c r="L66" i="18"/>
  <c r="M66" i="18"/>
  <c r="N66" i="18"/>
  <c r="O66" i="18"/>
  <c r="P66" i="18"/>
  <c r="Q66" i="18"/>
  <c r="R66" i="18"/>
  <c r="S66" i="18"/>
  <c r="T66" i="18"/>
  <c r="U66" i="18"/>
  <c r="V66" i="18"/>
  <c r="W66" i="18"/>
  <c r="X66" i="18"/>
  <c r="Y66" i="18"/>
  <c r="Z66" i="18"/>
  <c r="AA66" i="18"/>
  <c r="AB66" i="18"/>
  <c r="AC66" i="18"/>
  <c r="AD66" i="18"/>
  <c r="AE66" i="18"/>
  <c r="H66" i="18"/>
  <c r="B69" i="18"/>
  <c r="C69" i="18"/>
  <c r="D69" i="18"/>
  <c r="E69" i="18"/>
  <c r="B70" i="18"/>
  <c r="C70" i="18"/>
  <c r="D70" i="18"/>
  <c r="E70" i="18"/>
  <c r="B71" i="18"/>
  <c r="C71" i="18"/>
  <c r="D71" i="18"/>
  <c r="E71" i="18"/>
  <c r="C66" i="18"/>
  <c r="D66" i="18"/>
  <c r="E66" i="18"/>
  <c r="B66" i="18"/>
  <c r="G63" i="18"/>
  <c r="F63" i="18"/>
  <c r="G66" i="18" l="1"/>
  <c r="G69" i="18"/>
  <c r="G70" i="18"/>
  <c r="F69" i="18"/>
  <c r="F70" i="18"/>
  <c r="F66" i="18"/>
  <c r="G71" i="18"/>
  <c r="F71" i="18"/>
  <c r="G62" i="18"/>
  <c r="F62" i="18"/>
  <c r="G59" i="18"/>
  <c r="F59" i="18"/>
  <c r="G56" i="18"/>
  <c r="F56" i="18"/>
  <c r="G55" i="18"/>
  <c r="F55" i="18"/>
  <c r="G52" i="18"/>
  <c r="F52" i="18"/>
  <c r="AE61" i="18" l="1"/>
  <c r="AE54" i="18" s="1"/>
  <c r="AD61" i="18"/>
  <c r="AD58" i="18" s="1"/>
  <c r="AC61" i="18"/>
  <c r="AC58" i="18" s="1"/>
  <c r="AB61" i="18"/>
  <c r="AB54" i="18" s="1"/>
  <c r="AA61" i="18"/>
  <c r="Z61" i="18"/>
  <c r="Z58" i="18" s="1"/>
  <c r="Y61" i="18"/>
  <c r="Y54" i="18" s="1"/>
  <c r="X61" i="18"/>
  <c r="X58" i="18" s="1"/>
  <c r="W61" i="18"/>
  <c r="W54" i="18" s="1"/>
  <c r="V61" i="18"/>
  <c r="V58" i="18" s="1"/>
  <c r="U61" i="18"/>
  <c r="U58" i="18" s="1"/>
  <c r="T61" i="18"/>
  <c r="T58" i="18" s="1"/>
  <c r="S61" i="18"/>
  <c r="S54" i="18" s="1"/>
  <c r="R61" i="18"/>
  <c r="R58" i="18" s="1"/>
  <c r="Q61" i="18"/>
  <c r="Q58" i="18" s="1"/>
  <c r="P61" i="18"/>
  <c r="P58" i="18" s="1"/>
  <c r="O61" i="18"/>
  <c r="O54" i="18" s="1"/>
  <c r="N61" i="18"/>
  <c r="N58" i="18" s="1"/>
  <c r="M61" i="18"/>
  <c r="M58" i="18" s="1"/>
  <c r="L61" i="18"/>
  <c r="L58" i="18" s="1"/>
  <c r="K61" i="18"/>
  <c r="J61" i="18"/>
  <c r="J54" i="18" s="1"/>
  <c r="I61" i="18"/>
  <c r="I58" i="18" s="1"/>
  <c r="H61" i="18"/>
  <c r="H58" i="18" s="1"/>
  <c r="E60" i="18"/>
  <c r="C60" i="18"/>
  <c r="C58" i="18" s="1"/>
  <c r="B60" i="18"/>
  <c r="B58" i="18" s="1"/>
  <c r="D58" i="18"/>
  <c r="D54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D53" i="18"/>
  <c r="E49" i="18"/>
  <c r="C49" i="18"/>
  <c r="B49" i="18"/>
  <c r="B48" i="18" s="1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D48" i="18"/>
  <c r="O58" i="18" l="1"/>
  <c r="AC54" i="18"/>
  <c r="AC51" i="18" s="1"/>
  <c r="C53" i="18"/>
  <c r="Z54" i="18"/>
  <c r="Z51" i="18" s="1"/>
  <c r="H54" i="18"/>
  <c r="H51" i="18" s="1"/>
  <c r="D51" i="18"/>
  <c r="P54" i="18"/>
  <c r="P51" i="18" s="1"/>
  <c r="I67" i="18"/>
  <c r="M67" i="18"/>
  <c r="U67" i="18"/>
  <c r="T54" i="18"/>
  <c r="T51" i="18" s="1"/>
  <c r="W67" i="18"/>
  <c r="M54" i="18"/>
  <c r="M51" i="18" s="1"/>
  <c r="X54" i="18"/>
  <c r="X51" i="18" s="1"/>
  <c r="Y58" i="18"/>
  <c r="U54" i="18"/>
  <c r="U51" i="18" s="1"/>
  <c r="I54" i="18"/>
  <c r="I51" i="18" s="1"/>
  <c r="Q54" i="18"/>
  <c r="Q51" i="18" s="1"/>
  <c r="C61" i="18"/>
  <c r="C54" i="18" s="1"/>
  <c r="Y51" i="18"/>
  <c r="S58" i="18"/>
  <c r="AE58" i="18"/>
  <c r="AB51" i="18"/>
  <c r="F49" i="18"/>
  <c r="L54" i="18"/>
  <c r="L51" i="18" s="1"/>
  <c r="AD54" i="18"/>
  <c r="AD51" i="18" s="1"/>
  <c r="AB58" i="18"/>
  <c r="J51" i="18"/>
  <c r="N54" i="18"/>
  <c r="N51" i="18" s="1"/>
  <c r="G60" i="18"/>
  <c r="B53" i="18"/>
  <c r="C48" i="18"/>
  <c r="G49" i="18"/>
  <c r="O51" i="18"/>
  <c r="S51" i="18"/>
  <c r="W51" i="18"/>
  <c r="AE51" i="18"/>
  <c r="V54" i="18"/>
  <c r="V51" i="18" s="1"/>
  <c r="R54" i="18"/>
  <c r="R51" i="18" s="1"/>
  <c r="W58" i="18"/>
  <c r="F60" i="18"/>
  <c r="E58" i="18"/>
  <c r="E53" i="18"/>
  <c r="E48" i="18"/>
  <c r="J58" i="18"/>
  <c r="B61" i="18"/>
  <c r="E61" i="18"/>
  <c r="K58" i="18"/>
  <c r="K54" i="18"/>
  <c r="K51" i="18" s="1"/>
  <c r="AA58" i="18"/>
  <c r="AA54" i="18"/>
  <c r="AA51" i="18" s="1"/>
  <c r="H68" i="18" l="1"/>
  <c r="I68" i="18"/>
  <c r="K68" i="18"/>
  <c r="U68" i="18"/>
  <c r="N67" i="18"/>
  <c r="C51" i="18"/>
  <c r="AE68" i="18"/>
  <c r="AC68" i="18"/>
  <c r="AB68" i="18"/>
  <c r="Y68" i="18"/>
  <c r="W68" i="18"/>
  <c r="S68" i="18"/>
  <c r="O67" i="18"/>
  <c r="Z68" i="18"/>
  <c r="M68" i="18"/>
  <c r="B54" i="18"/>
  <c r="B51" i="18" s="1"/>
  <c r="X67" i="18"/>
  <c r="R67" i="18"/>
  <c r="AA67" i="18"/>
  <c r="G61" i="18"/>
  <c r="E54" i="18"/>
  <c r="E51" i="18" s="1"/>
  <c r="F61" i="18"/>
  <c r="F53" i="18"/>
  <c r="G53" i="18"/>
  <c r="AD67" i="18"/>
  <c r="T67" i="18"/>
  <c r="K67" i="18"/>
  <c r="F48" i="18"/>
  <c r="G48" i="18"/>
  <c r="F58" i="18"/>
  <c r="G58" i="18"/>
  <c r="I65" i="18" l="1"/>
  <c r="I64" i="18" s="1"/>
  <c r="Q68" i="18"/>
  <c r="L68" i="18"/>
  <c r="U65" i="18"/>
  <c r="U64" i="18" s="1"/>
  <c r="E68" i="18"/>
  <c r="T68" i="18"/>
  <c r="O68" i="18"/>
  <c r="M65" i="18"/>
  <c r="M64" i="18" s="1"/>
  <c r="Q67" i="18"/>
  <c r="K65" i="18"/>
  <c r="K64" i="18" s="1"/>
  <c r="AE67" i="18"/>
  <c r="W65" i="18"/>
  <c r="W64" i="18" s="1"/>
  <c r="AA68" i="18"/>
  <c r="Z67" i="18"/>
  <c r="L67" i="18"/>
  <c r="J67" i="18"/>
  <c r="V67" i="18"/>
  <c r="J68" i="18"/>
  <c r="O65" i="18"/>
  <c r="O64" i="18" s="1"/>
  <c r="X68" i="18"/>
  <c r="AD68" i="18"/>
  <c r="P68" i="18"/>
  <c r="P67" i="18"/>
  <c r="S67" i="18"/>
  <c r="R68" i="18"/>
  <c r="AB67" i="18"/>
  <c r="V68" i="18"/>
  <c r="N68" i="18"/>
  <c r="G51" i="18"/>
  <c r="F51" i="18"/>
  <c r="G54" i="18"/>
  <c r="F54" i="18"/>
  <c r="Y67" i="18"/>
  <c r="E67" i="18"/>
  <c r="AC67" i="18"/>
  <c r="T65" i="18" l="1"/>
  <c r="T64" i="18" s="1"/>
  <c r="L65" i="18"/>
  <c r="L64" i="18" s="1"/>
  <c r="Q65" i="18"/>
  <c r="Q64" i="18" s="1"/>
  <c r="B67" i="18"/>
  <c r="F67" i="18" s="1"/>
  <c r="H67" i="18"/>
  <c r="AE65" i="18"/>
  <c r="AC65" i="18"/>
  <c r="AC64" i="18" s="1"/>
  <c r="AA65" i="18"/>
  <c r="AA64" i="18" s="1"/>
  <c r="Y65" i="18"/>
  <c r="Y64" i="18" s="1"/>
  <c r="Z65" i="18"/>
  <c r="Z64" i="18" s="1"/>
  <c r="J65" i="18"/>
  <c r="J64" i="18" s="1"/>
  <c r="D67" i="18"/>
  <c r="AD65" i="18"/>
  <c r="AD64" i="18" s="1"/>
  <c r="X65" i="18"/>
  <c r="X64" i="18" s="1"/>
  <c r="P65" i="18"/>
  <c r="P64" i="18" s="1"/>
  <c r="N65" i="18"/>
  <c r="N64" i="18" s="1"/>
  <c r="S65" i="18"/>
  <c r="S64" i="18" s="1"/>
  <c r="E65" i="18"/>
  <c r="R65" i="18"/>
  <c r="R64" i="18" s="1"/>
  <c r="AB65" i="18"/>
  <c r="AB64" i="18" s="1"/>
  <c r="V65" i="18"/>
  <c r="V64" i="18" s="1"/>
  <c r="C68" i="18"/>
  <c r="E64" i="18" l="1"/>
  <c r="H65" i="18"/>
  <c r="H64" i="18" s="1"/>
  <c r="C67" i="18"/>
  <c r="G68" i="18"/>
  <c r="B68" i="18"/>
  <c r="D68" i="18" l="1"/>
  <c r="G67" i="18"/>
  <c r="C65" i="18"/>
  <c r="F68" i="18"/>
  <c r="B65" i="18"/>
  <c r="C64" i="18" l="1"/>
  <c r="D65" i="18"/>
  <c r="D64" i="18" s="1"/>
  <c r="G65" i="18"/>
  <c r="B64" i="18"/>
  <c r="F64" i="18" s="1"/>
  <c r="F65" i="18"/>
  <c r="G64" i="18" l="1"/>
  <c r="P66" i="3"/>
  <c r="O66" i="3"/>
  <c r="N66" i="3"/>
  <c r="I66" i="3"/>
  <c r="H66" i="3"/>
  <c r="G66" i="3"/>
  <c r="R59" i="3"/>
  <c r="Q59" i="3"/>
  <c r="P49" i="3"/>
  <c r="P62" i="3" s="1"/>
  <c r="O49" i="3"/>
  <c r="O62" i="3" s="1"/>
  <c r="N49" i="3"/>
  <c r="N55" i="3" s="1"/>
  <c r="I49" i="3"/>
  <c r="I62" i="3" s="1"/>
  <c r="H49" i="3"/>
  <c r="H62" i="3" s="1"/>
  <c r="G49" i="3"/>
  <c r="G55" i="3" s="1"/>
  <c r="P48" i="3"/>
  <c r="P54" i="3" s="1"/>
  <c r="O48" i="3"/>
  <c r="O54" i="3" s="1"/>
  <c r="N48" i="3"/>
  <c r="N61" i="3" s="1"/>
  <c r="I48" i="3"/>
  <c r="I54" i="3" s="1"/>
  <c r="H48" i="3"/>
  <c r="H54" i="3" s="1"/>
  <c r="G48" i="3"/>
  <c r="G61" i="3" s="1"/>
  <c r="P47" i="3"/>
  <c r="P60" i="3" s="1"/>
  <c r="O47" i="3"/>
  <c r="O60" i="3" s="1"/>
  <c r="N47" i="3"/>
  <c r="N53" i="3" s="1"/>
  <c r="I47" i="3"/>
  <c r="I60" i="3" s="1"/>
  <c r="H47" i="3"/>
  <c r="H60" i="3" s="1"/>
  <c r="G47" i="3"/>
  <c r="G53" i="3" s="1"/>
  <c r="R46" i="3"/>
  <c r="M46" i="3"/>
  <c r="M49" i="3" s="1"/>
  <c r="F46" i="3"/>
  <c r="R45" i="3"/>
  <c r="M45" i="3"/>
  <c r="F45" i="3"/>
  <c r="R44" i="3"/>
  <c r="M44" i="3"/>
  <c r="F44" i="3"/>
  <c r="P38" i="3"/>
  <c r="P39" i="3" s="1"/>
  <c r="P67" i="3" s="1"/>
  <c r="O38" i="3"/>
  <c r="O39" i="3" s="1"/>
  <c r="O67" i="3" s="1"/>
  <c r="N38" i="3"/>
  <c r="N39" i="3" s="1"/>
  <c r="N67" i="3" s="1"/>
  <c r="I38" i="3"/>
  <c r="I39" i="3" s="1"/>
  <c r="I67" i="3" s="1"/>
  <c r="H38" i="3"/>
  <c r="H39" i="3" s="1"/>
  <c r="H67" i="3" s="1"/>
  <c r="G38" i="3"/>
  <c r="G39" i="3" s="1"/>
  <c r="R37" i="3"/>
  <c r="M37" i="3"/>
  <c r="M38" i="3" s="1"/>
  <c r="M39" i="3" s="1"/>
  <c r="M67" i="3" s="1"/>
  <c r="F37" i="3"/>
  <c r="P31" i="3"/>
  <c r="O31" i="3"/>
  <c r="N31" i="3"/>
  <c r="I31" i="3"/>
  <c r="H31" i="3"/>
  <c r="G31" i="3"/>
  <c r="R30" i="3"/>
  <c r="M30" i="3"/>
  <c r="M66" i="3" s="1"/>
  <c r="F30" i="3"/>
  <c r="Q30" i="3" s="1"/>
  <c r="P28" i="3"/>
  <c r="P65" i="3" s="1"/>
  <c r="O28" i="3"/>
  <c r="O65" i="3" s="1"/>
  <c r="N28" i="3"/>
  <c r="N65" i="3" s="1"/>
  <c r="I28" i="3"/>
  <c r="I65" i="3" s="1"/>
  <c r="H28" i="3"/>
  <c r="H65" i="3" s="1"/>
  <c r="G28" i="3"/>
  <c r="G65" i="3" s="1"/>
  <c r="R65" i="3" s="1"/>
  <c r="P27" i="3"/>
  <c r="P64" i="3" s="1"/>
  <c r="O27" i="3"/>
  <c r="O64" i="3" s="1"/>
  <c r="I27" i="3"/>
  <c r="I64" i="3" s="1"/>
  <c r="H27" i="3"/>
  <c r="H64" i="3" s="1"/>
  <c r="G27" i="3"/>
  <c r="P26" i="3"/>
  <c r="P63" i="3" s="1"/>
  <c r="R24" i="3"/>
  <c r="M24" i="3"/>
  <c r="F24" i="3"/>
  <c r="R23" i="3"/>
  <c r="M23" i="3"/>
  <c r="F23" i="3"/>
  <c r="R22" i="3"/>
  <c r="M22" i="3"/>
  <c r="F22" i="3"/>
  <c r="R21" i="3"/>
  <c r="M21" i="3"/>
  <c r="F21" i="3"/>
  <c r="N20" i="3"/>
  <c r="M20" i="3" s="1"/>
  <c r="F20" i="3"/>
  <c r="P19" i="3"/>
  <c r="O19" i="3"/>
  <c r="I19" i="3"/>
  <c r="H19" i="3"/>
  <c r="G19" i="3"/>
  <c r="R18" i="3"/>
  <c r="M18" i="3"/>
  <c r="Q18" i="3" s="1"/>
  <c r="F18" i="3"/>
  <c r="R17" i="3"/>
  <c r="M17" i="3"/>
  <c r="F17" i="3"/>
  <c r="N16" i="3"/>
  <c r="R16" i="3" s="1"/>
  <c r="F16" i="3"/>
  <c r="P15" i="3"/>
  <c r="O15" i="3"/>
  <c r="N15" i="3"/>
  <c r="I15" i="3"/>
  <c r="H15" i="3"/>
  <c r="G15" i="3"/>
  <c r="I66" i="2"/>
  <c r="H66" i="2"/>
  <c r="G66" i="2"/>
  <c r="I49" i="2"/>
  <c r="I62" i="2" s="1"/>
  <c r="H49" i="2"/>
  <c r="H62" i="2" s="1"/>
  <c r="G49" i="2"/>
  <c r="G62" i="2" s="1"/>
  <c r="I48" i="2"/>
  <c r="I61" i="2" s="1"/>
  <c r="H48" i="2"/>
  <c r="H61" i="2" s="1"/>
  <c r="G48" i="2"/>
  <c r="G61" i="2" s="1"/>
  <c r="I47" i="2"/>
  <c r="I60" i="2" s="1"/>
  <c r="H47" i="2"/>
  <c r="H60" i="2" s="1"/>
  <c r="G47" i="2"/>
  <c r="G60" i="2" s="1"/>
  <c r="F46" i="2"/>
  <c r="F49" i="2" s="1"/>
  <c r="F55" i="2" s="1"/>
  <c r="F45" i="2"/>
  <c r="F44" i="2"/>
  <c r="F48" i="2" s="1"/>
  <c r="F54" i="2" s="1"/>
  <c r="I38" i="2"/>
  <c r="I39" i="2" s="1"/>
  <c r="I67" i="2" s="1"/>
  <c r="H38" i="2"/>
  <c r="H39" i="2" s="1"/>
  <c r="H67" i="2" s="1"/>
  <c r="G38" i="2"/>
  <c r="G39" i="2" s="1"/>
  <c r="G67" i="2" s="1"/>
  <c r="F37" i="2"/>
  <c r="F38" i="2" s="1"/>
  <c r="F39" i="2" s="1"/>
  <c r="F67" i="2" s="1"/>
  <c r="I31" i="2"/>
  <c r="H31" i="2"/>
  <c r="G31" i="2"/>
  <c r="F30" i="2"/>
  <c r="F66" i="2" s="1"/>
  <c r="I28" i="2"/>
  <c r="I65" i="2" s="1"/>
  <c r="H28" i="2"/>
  <c r="H65" i="2" s="1"/>
  <c r="G28" i="2"/>
  <c r="I27" i="2"/>
  <c r="I64" i="2" s="1"/>
  <c r="H27" i="2"/>
  <c r="H64" i="2" s="1"/>
  <c r="F24" i="2"/>
  <c r="F23" i="2"/>
  <c r="F22" i="2"/>
  <c r="F21" i="2"/>
  <c r="G20" i="2"/>
  <c r="F20" i="2"/>
  <c r="I19" i="2"/>
  <c r="H19" i="2"/>
  <c r="G19" i="2"/>
  <c r="F18" i="2"/>
  <c r="F17" i="2"/>
  <c r="G16" i="2"/>
  <c r="F16" i="2" s="1"/>
  <c r="F15" i="2" s="1"/>
  <c r="I15" i="2"/>
  <c r="H15" i="2"/>
  <c r="G15" i="2"/>
  <c r="F19" i="2" l="1"/>
  <c r="F47" i="2"/>
  <c r="F53" i="2" s="1"/>
  <c r="M16" i="3"/>
  <c r="Q16" i="3" s="1"/>
  <c r="H33" i="3"/>
  <c r="P33" i="3"/>
  <c r="G27" i="2"/>
  <c r="F27" i="2" s="1"/>
  <c r="F64" i="2" s="1"/>
  <c r="Q24" i="3"/>
  <c r="G33" i="2"/>
  <c r="H33" i="2"/>
  <c r="F15" i="3"/>
  <c r="Q46" i="3"/>
  <c r="H26" i="2"/>
  <c r="H63" i="2" s="1"/>
  <c r="I33" i="2"/>
  <c r="G53" i="2"/>
  <c r="I26" i="2"/>
  <c r="I63" i="2" s="1"/>
  <c r="F28" i="2"/>
  <c r="F65" i="2" s="1"/>
  <c r="F31" i="2"/>
  <c r="R15" i="3"/>
  <c r="Q17" i="3"/>
  <c r="O26" i="3"/>
  <c r="O63" i="3" s="1"/>
  <c r="G33" i="3"/>
  <c r="Q22" i="3"/>
  <c r="Q45" i="3"/>
  <c r="O33" i="3"/>
  <c r="O57" i="3" s="1"/>
  <c r="F19" i="3"/>
  <c r="Q23" i="3"/>
  <c r="N54" i="3"/>
  <c r="N27" i="3"/>
  <c r="N26" i="3" s="1"/>
  <c r="N63" i="3" s="1"/>
  <c r="R61" i="3"/>
  <c r="I53" i="3"/>
  <c r="I55" i="3"/>
  <c r="R66" i="3"/>
  <c r="R20" i="3"/>
  <c r="G26" i="3"/>
  <c r="F48" i="3"/>
  <c r="P53" i="3"/>
  <c r="P55" i="3"/>
  <c r="M15" i="3"/>
  <c r="Q15" i="3" s="1"/>
  <c r="Q21" i="3"/>
  <c r="I26" i="3"/>
  <c r="I63" i="3" s="1"/>
  <c r="I33" i="3"/>
  <c r="I57" i="3" s="1"/>
  <c r="Q37" i="3"/>
  <c r="M48" i="3"/>
  <c r="M61" i="3" s="1"/>
  <c r="G54" i="3"/>
  <c r="M55" i="3"/>
  <c r="M62" i="3"/>
  <c r="P57" i="3"/>
  <c r="R53" i="3"/>
  <c r="R55" i="3"/>
  <c r="F33" i="3"/>
  <c r="H57" i="3"/>
  <c r="G67" i="3"/>
  <c r="R67" i="3" s="1"/>
  <c r="R39" i="3"/>
  <c r="Q20" i="3"/>
  <c r="P34" i="3"/>
  <c r="P58" i="3" s="1"/>
  <c r="R38" i="3"/>
  <c r="R49" i="3"/>
  <c r="G60" i="3"/>
  <c r="I61" i="3"/>
  <c r="G62" i="3"/>
  <c r="N19" i="3"/>
  <c r="M19" i="3" s="1"/>
  <c r="Q19" i="3" s="1"/>
  <c r="H26" i="3"/>
  <c r="H63" i="3" s="1"/>
  <c r="F27" i="3"/>
  <c r="F31" i="3"/>
  <c r="Q31" i="3" s="1"/>
  <c r="M31" i="3"/>
  <c r="H34" i="3"/>
  <c r="O34" i="3"/>
  <c r="F38" i="3"/>
  <c r="F47" i="3"/>
  <c r="M47" i="3"/>
  <c r="F49" i="3"/>
  <c r="H53" i="3"/>
  <c r="O53" i="3"/>
  <c r="H55" i="3"/>
  <c r="O55" i="3"/>
  <c r="H61" i="3"/>
  <c r="O61" i="3"/>
  <c r="F66" i="3"/>
  <c r="Q66" i="3" s="1"/>
  <c r="R31" i="3"/>
  <c r="I34" i="3"/>
  <c r="I32" i="3" s="1"/>
  <c r="I56" i="3" s="1"/>
  <c r="P61" i="3"/>
  <c r="N62" i="3"/>
  <c r="G64" i="3"/>
  <c r="F28" i="3"/>
  <c r="M28" i="3"/>
  <c r="M65" i="3" s="1"/>
  <c r="Q44" i="3"/>
  <c r="R47" i="3"/>
  <c r="N60" i="3"/>
  <c r="R28" i="3"/>
  <c r="G34" i="3"/>
  <c r="G32" i="3" s="1"/>
  <c r="N34" i="3"/>
  <c r="R48" i="3"/>
  <c r="F33" i="2"/>
  <c r="F57" i="2" s="1"/>
  <c r="G26" i="2"/>
  <c r="F60" i="2"/>
  <c r="F62" i="2"/>
  <c r="F61" i="2"/>
  <c r="G34" i="2"/>
  <c r="G32" i="2" s="1"/>
  <c r="G54" i="2"/>
  <c r="G57" i="2" s="1"/>
  <c r="G55" i="2"/>
  <c r="G64" i="2"/>
  <c r="G65" i="2"/>
  <c r="H34" i="2"/>
  <c r="H53" i="2"/>
  <c r="H54" i="2"/>
  <c r="H57" i="2" s="1"/>
  <c r="H55" i="2"/>
  <c r="I34" i="2"/>
  <c r="I32" i="2" s="1"/>
  <c r="I53" i="2"/>
  <c r="I54" i="2"/>
  <c r="I57" i="2" s="1"/>
  <c r="I55" i="2"/>
  <c r="I58" i="2" l="1"/>
  <c r="H58" i="2"/>
  <c r="I56" i="2"/>
  <c r="Q48" i="3"/>
  <c r="R27" i="3"/>
  <c r="M27" i="3"/>
  <c r="M64" i="3" s="1"/>
  <c r="F61" i="3"/>
  <c r="R26" i="3"/>
  <c r="M26" i="3"/>
  <c r="M63" i="3" s="1"/>
  <c r="G63" i="3"/>
  <c r="R63" i="3" s="1"/>
  <c r="R54" i="3"/>
  <c r="F26" i="3"/>
  <c r="F63" i="3" s="1"/>
  <c r="M54" i="3"/>
  <c r="F54" i="3"/>
  <c r="Q54" i="3" s="1"/>
  <c r="N64" i="3"/>
  <c r="I58" i="3"/>
  <c r="G57" i="3"/>
  <c r="N33" i="3"/>
  <c r="R64" i="3"/>
  <c r="Q61" i="3"/>
  <c r="G56" i="3"/>
  <c r="F39" i="3"/>
  <c r="Q38" i="3"/>
  <c r="Q26" i="3"/>
  <c r="F55" i="3"/>
  <c r="Q55" i="3" s="1"/>
  <c r="F62" i="3"/>
  <c r="Q62" i="3" s="1"/>
  <c r="Q49" i="3"/>
  <c r="O58" i="3"/>
  <c r="R62" i="3"/>
  <c r="R19" i="3"/>
  <c r="P32" i="3"/>
  <c r="P56" i="3" s="1"/>
  <c r="O32" i="3"/>
  <c r="O56" i="3" s="1"/>
  <c r="R34" i="3"/>
  <c r="G58" i="3"/>
  <c r="F34" i="3"/>
  <c r="F65" i="3"/>
  <c r="Q65" i="3" s="1"/>
  <c r="Q28" i="3"/>
  <c r="M53" i="3"/>
  <c r="M60" i="3"/>
  <c r="H58" i="3"/>
  <c r="F64" i="3"/>
  <c r="Q64" i="3" s="1"/>
  <c r="H32" i="3"/>
  <c r="H56" i="3" s="1"/>
  <c r="M34" i="3"/>
  <c r="M58" i="3" s="1"/>
  <c r="N58" i="3"/>
  <c r="F53" i="3"/>
  <c r="F60" i="3"/>
  <c r="Q60" i="3" s="1"/>
  <c r="Q47" i="3"/>
  <c r="R60" i="3"/>
  <c r="G56" i="2"/>
  <c r="H32" i="2"/>
  <c r="H56" i="2" s="1"/>
  <c r="G58" i="2"/>
  <c r="F34" i="2"/>
  <c r="F58" i="2" s="1"/>
  <c r="F26" i="2"/>
  <c r="F63" i="2" s="1"/>
  <c r="G63" i="2"/>
  <c r="Q53" i="3" l="1"/>
  <c r="Q63" i="3"/>
  <c r="Q27" i="3"/>
  <c r="N32" i="3"/>
  <c r="M32" i="3" s="1"/>
  <c r="M56" i="3" s="1"/>
  <c r="M33" i="3"/>
  <c r="R33" i="3"/>
  <c r="N57" i="3"/>
  <c r="R57" i="3" s="1"/>
  <c r="F57" i="3"/>
  <c r="F32" i="3"/>
  <c r="F67" i="3"/>
  <c r="Q67" i="3" s="1"/>
  <c r="Q39" i="3"/>
  <c r="Q34" i="3"/>
  <c r="F58" i="3"/>
  <c r="Q58" i="3" s="1"/>
  <c r="R58" i="3"/>
  <c r="F32" i="2"/>
  <c r="F56" i="2" s="1"/>
  <c r="Q32" i="3" l="1"/>
  <c r="M57" i="3"/>
  <c r="Q57" i="3" s="1"/>
  <c r="Q33" i="3"/>
  <c r="F56" i="3"/>
  <c r="Q56" i="3" s="1"/>
  <c r="N56" i="3"/>
  <c r="R56" i="3" s="1"/>
  <c r="R32" i="3"/>
</calcChain>
</file>

<file path=xl/sharedStrings.xml><?xml version="1.0" encoding="utf-8"?>
<sst xmlns="http://schemas.openxmlformats.org/spreadsheetml/2006/main" count="514" uniqueCount="150">
  <si>
    <t>Мероприятия программы</t>
  </si>
  <si>
    <t>Срок выполнения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</si>
  <si>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</si>
  <si>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</si>
  <si>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</si>
  <si>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</si>
  <si>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</si>
  <si>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</si>
  <si>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Задача 1 Содействие временному трудоустройству несовершеннолетних граждан</t>
  </si>
  <si>
    <t>Организация временного трудоустройства несовершеннолетних граждан в возрасте от 14 до 18 лет в свободное от учёбы время</t>
  </si>
  <si>
    <t>2014-2016 годы</t>
  </si>
  <si>
    <t>Организация временного трудоустройства несовершеннолетних граждан в возрасте от 14 до 18 лет в течение учебного года</t>
  </si>
  <si>
    <t xml:space="preserve">Организация временного трудоустройства несовершеннолетних безработных граждан в возрасте от 16 до 18 лет </t>
  </si>
  <si>
    <t>Привлечение внештатных сотрудников</t>
  </si>
  <si>
    <t>Приобретение канцелярских товаров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</si>
  <si>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</si>
  <si>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</si>
  <si>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</si>
  <si>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</si>
  <si>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Организация проведения оплачиваемых общественных работ для не занятых трудовой деятельностью и безработных граждан</t>
  </si>
  <si>
    <t>Итого по задаче 2</t>
  </si>
  <si>
    <t>Итого по подпрограмме 1</t>
  </si>
  <si>
    <t>Управление экономики Администрации города Когалыма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</si>
  <si>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</si>
  <si>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>Итого по задаче 3</t>
  </si>
  <si>
    <t>Всего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</si>
  <si>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</si>
  <si>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2</t>
  </si>
  <si>
    <t>ответственный исполнитель – Управление экономики Администрации города Когалыма</t>
  </si>
  <si>
    <t>№ п/п</t>
  </si>
  <si>
    <t>Финансовые затраты на реализацию (тыс. рублей)</t>
  </si>
  <si>
    <t>1.1.</t>
  </si>
  <si>
    <t>1.2.</t>
  </si>
  <si>
    <t>1.3.</t>
  </si>
  <si>
    <t>1.4.</t>
  </si>
  <si>
    <t>1.5.</t>
  </si>
  <si>
    <t>1.6.</t>
  </si>
  <si>
    <t>1.7.</t>
  </si>
  <si>
    <t>2.1.</t>
  </si>
  <si>
    <t>3.1.</t>
  </si>
  <si>
    <t>4.1.</t>
  </si>
  <si>
    <t>4.2.</t>
  </si>
  <si>
    <t>Бюджет автономного округа</t>
  </si>
  <si>
    <t>Управление культуры, спорта и молодёжной политики Администрации города Когалыма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</si>
  <si>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</si>
  <si>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</si>
  <si>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4.3.</t>
  </si>
  <si>
    <t>4.4.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</si>
  <si>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</si>
  <si>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</si>
  <si>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</si>
  <si>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5.2.</t>
  </si>
  <si>
    <t>Итого по подпрограмме 3</t>
  </si>
  <si>
    <t>Управление образования Администрации города Когалыма</t>
  </si>
  <si>
    <t xml:space="preserve">Бюджет автономного округа </t>
  </si>
  <si>
    <t>ВСЕГО  ПО  ПРОГРАММЕ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</si>
  <si>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</si>
  <si>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</si>
  <si>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Подпрограмма 1. «Содействие трудоустройству граждан»</t>
  </si>
  <si>
    <t>Подпрограмма 2. «Дополнительные мероприятия в области занятости населения»</t>
  </si>
  <si>
    <t>Основные мероприятия муниципальной программы</t>
  </si>
  <si>
    <t>соисполнитель 1 – Управление культуры, спорта и молодёжной политики Администрации города Когалыма</t>
  </si>
  <si>
    <t>соисполнитель 3 – Управление образования Администрации города Когалыма</t>
  </si>
  <si>
    <t>I. Цель 1. Содействие занятости населения города Когалыма и повышение конкурентоспособности рабочей силы</t>
  </si>
  <si>
    <t>II. Цель 2. Улучшение условий и охраны труда в городе Когалыме</t>
  </si>
  <si>
    <t>Муниципальное казённое учреждение «Управление жилищно-коммунального хозяйства города Когалыма»</t>
  </si>
  <si>
    <t>соисполнитель 2 – Муниципальное казённое учреждение «Управление жилищно-коммунального хозяйства города Когалыма»</t>
  </si>
  <si>
    <t>в том числе:</t>
  </si>
  <si>
    <t>к постановлению Администрации города Когалыма</t>
  </si>
  <si>
    <t>от ____________ №_________</t>
  </si>
  <si>
    <t>Бюджет города Когалыма  (2016 год - за счёт условно утверждённых расходов)</t>
  </si>
  <si>
    <t xml:space="preserve">Бюджет города Когалыма  </t>
  </si>
  <si>
    <t>Ответственный исполнитель /соисполнитель,учреждение, организация</t>
  </si>
  <si>
    <t>Приложение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</si>
  <si>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</si>
  <si>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</si>
  <si>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</si>
  <si>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>Организация проведения заседаний Межведомственной комиссии по охране труда в городе Когалыме</t>
  </si>
  <si>
    <t>Бюджет Ханты-Мансийского автономного округа - Югры (далее - бюджет автономного округа)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</si>
  <si>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</si>
  <si>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тыс.руб.</t>
  </si>
  <si>
    <t>План на отчетную дату</t>
  </si>
  <si>
    <t>Профинансировано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</si>
  <si>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</si>
  <si>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</si>
  <si>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</si>
  <si>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</si>
  <si>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</si>
  <si>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</si>
  <si>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</si>
  <si>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</si>
  <si>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</si>
  <si>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</si>
  <si>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</si>
  <si>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</si>
  <si>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</si>
  <si>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</si>
  <si>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</si>
  <si>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</si>
  <si>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</si>
  <si>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</si>
  <si>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 xml:space="preserve">Подпрограмма 1. "Содействие трудоустройству граждан" </t>
  </si>
  <si>
    <t>бюджет автономного округа</t>
  </si>
  <si>
    <t>бюджет города Когалыма</t>
  </si>
  <si>
    <t>(подпись)</t>
  </si>
  <si>
    <t>(расшифровка подписи)</t>
  </si>
  <si>
    <t xml:space="preserve">Ответственный за составление сетевого графика </t>
  </si>
  <si>
    <t>1.1.1.  "Организация временного трудоустройства несовершеннолетних граждан в возрасте от 14 до 18 лет в свободное от учёбы время"</t>
  </si>
  <si>
    <t>1.1.2. "Организация временного трудоустройства несовершеннолетних граждан в возрасте от 14 до 18 лет в течение учебного года"</t>
  </si>
  <si>
    <t xml:space="preserve">Подпрограмма 2. "Улучшение условий и охраны труда в городе Когалыме" </t>
  </si>
  <si>
    <t>2.2.1. "Организация проведения заседаний Межведомственной комиссии по охране труда в городе Когалыме"</t>
  </si>
  <si>
    <t>2.2.2.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 "</t>
  </si>
  <si>
    <t>Подпрограмма 3. «Сопровождение инвалидов, в том числе молодого возраста, при трудоустройстве»</t>
  </si>
  <si>
    <t>1.1.3. "Привлечение прочих специалистов для организации работ трудовых бригад несовершеннолетних граждан"</t>
  </si>
  <si>
    <t>1.1.4. "Оказание консультационных услуг по вопросам о занятости несовершеннолетних граждан"</t>
  </si>
  <si>
    <t>1.1 "Содействие улучшению положения на рынке труда не занятых трудовой деятельностью и безработных граждан"  (1,2,3,4)</t>
  </si>
  <si>
    <t>2.1 "Осуществление отдельных государственных полномочий в сфере трудовых отношений и  государственного управления охраной труда в городе Когалыме" (5)</t>
  </si>
  <si>
    <t>2.2. "Предупредительные меры, направленные на снижение производственного травматизма и профессиональной заболеваемости работающего населения" (6)</t>
  </si>
  <si>
    <t xml:space="preserve">3.1 "Содействие трудоустройству незанятых инвалидов, в том числе инвалидов молодого возраста, на оборудованные (оснащенные) рабочие места" (7) </t>
  </si>
  <si>
    <t>план</t>
  </si>
  <si>
    <t>итого:</t>
  </si>
  <si>
    <t>Всего по мероприятию:</t>
  </si>
  <si>
    <t>МКУ "УОДОМС"</t>
  </si>
  <si>
    <t xml:space="preserve">1.1.5. "Организация проведения оплачиваемых общественных работ для не занятых трудовой деятельностью и безработных граждан" </t>
  </si>
  <si>
    <t>МБУ "КСАТ"</t>
  </si>
  <si>
    <t>ИТОГО (МАУ "МКЦ" ФЕНИКС")</t>
  </si>
  <si>
    <t xml:space="preserve">1.1.6. "Содействие трудоустройству незанятых одиноких родителей, родителей, воспитывающих детей-инвалидов, многодетных родителей через создание дополнительных (в том числе надомных) постоянных рабочих мест " </t>
  </si>
  <si>
    <t>Муниципальные учреждения города Когалыма не заявили в КУ "Когалымский центр занятости населения" свою потребность для участия в данном мероприятии муниципальной программы.</t>
  </si>
  <si>
    <t>утвержденной постановлением Администрации города Когалыма от 11.10.2013 №2901</t>
  </si>
  <si>
    <t xml:space="preserve">1.2.1. «Содействие трудоустройству незанятых одиноких родителей, родителей, воспитывающих детей-инвалидов, многодетных родителей, женщин, осуществляющих уход за ребенком в возрасте до 3 лет» </t>
  </si>
  <si>
    <t>1.2 "Региональный проект «Содействие занятости женщин - создание условий дошкольного образования для детей в возрасте до трех лет" (8)</t>
  </si>
  <si>
    <t>Наименование мероприятий программы</t>
  </si>
  <si>
    <t>федеральный бюджет</t>
  </si>
  <si>
    <t>в том числе в части софинансирования</t>
  </si>
  <si>
    <t>иные источники финансирования</t>
  </si>
  <si>
    <t>Всего по муниципальной программе</t>
  </si>
  <si>
    <t>С.В. Мартынова</t>
  </si>
  <si>
    <t>телефон 93785</t>
  </si>
  <si>
    <t>Закрытие плановых ассигнований округом.</t>
  </si>
  <si>
    <t>Начальник управления экономики Администрации города Когалыма</t>
  </si>
  <si>
    <t>Е.Г.Загорская</t>
  </si>
  <si>
    <t>План на текущую дату</t>
  </si>
  <si>
    <t>УПРАВЛЕНИЕ ОБРАЗОВАНИЯ (МАДОУ: "Золушка", "Березка", "Чебурашка", "Колокольчик")</t>
  </si>
  <si>
    <t>Принято и проверено 170 отчетов по ОТ от работодателей г.Когалыма за 2019 год.</t>
  </si>
  <si>
    <t>Проведение заседания Межведомственной комиссии запланировано в мае и ноябре 2020 года.</t>
  </si>
  <si>
    <t>Отчет о ходе реализации муниципальной программы "Содействие занятости населения города Когалыма" (сетевой график) по состоянию на 01.03.2020 года</t>
  </si>
  <si>
    <t>Дата составления сетевого графика 03.03.2020 года</t>
  </si>
  <si>
    <t>По факту обращения несовершеннолетних граждан специалистами МАУ "МКЦ"Феникс" оказано 672 консультации.</t>
  </si>
  <si>
    <t>Остаток плановых ассигнований на 01.03.2020г. cоставил: 61697,32 руб.:
1) по местному бюджету - 44837,33 руб., в т.ч.
41778,33 руб. - оплата труда гражданского персонала и начисления на них (работники приняты не в запланированные даты);
3059,00 руб.-возмещение работникам расходов, связанных с прохождением первичного медосмотра (медицинский осмотра 1 работника прохожден ранее). 
2) по бюджету ХМАО-Югры - 16859,99 руб., в т.ч.
12949,3 руб. - оплата труда гражданского персонала;                                              3910,69 руб.- начисления на выплаты по оплате труда. 
Остаток денежных средств, в связи с отсутствием финансирования с округа.</t>
  </si>
  <si>
    <t>По состоянию на 01.03.2020 года остаток от доведенных округом средств (профинансированных) составил 47 тыс. рублей,  в связи с тем, что кассовые расходы на связь, комунальные услуги и услуги по техническому обслуживанию оргтехники производились по фактически выставленым поставщиками счетам. Специалистами отдела по труду и занятости: рассмотрено 7 устных обращений,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 по труду и занятости населения ХМАО-Югры.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</si>
</sst>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_ ;[Red]\-#,##0.000\ "/>
  </numFmts>
  <fonts count="33" x14ac:knownFonts="1"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"/>
      <family val="2"/>
      <charset val="204"/>
    </font>
    <font>
      <sz val="13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3"/>
      <color theme="3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6DFE4"/>
        <bgColor indexed="64"/>
      </patternFill>
    </fill>
    <fill>
      <patternFill patternType="solid">
        <fgColor rgb="FFF9FDE7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0"/>
  </cellStyleXfs>
  <cellXfs count="218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horizontal="right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justify" vertical="center" wrapText="1"/>
    </xf>
    <xf numFmtId="0" fontId="13" fillId="0" borderId="8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165" fontId="11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66" fontId="17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justify" wrapText="1"/>
    </xf>
    <xf numFmtId="164" fontId="10" fillId="0" borderId="0" xfId="0" applyNumberFormat="1" applyFont="1" applyFill="1" applyBorder="1" applyAlignment="1" applyProtection="1">
      <alignment vertical="center" wrapText="1"/>
    </xf>
    <xf numFmtId="164" fontId="16" fillId="0" borderId="0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Border="1" applyAlignment="1">
      <alignment horizontal="justify" wrapText="1"/>
    </xf>
    <xf numFmtId="0" fontId="16" fillId="0" borderId="0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 applyBorder="1"/>
    <xf numFmtId="0" fontId="21" fillId="0" borderId="0" xfId="0" applyFont="1" applyFill="1"/>
    <xf numFmtId="164" fontId="4" fillId="0" borderId="8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23" fillId="0" borderId="0" xfId="0" applyFont="1" applyBorder="1"/>
    <xf numFmtId="0" fontId="18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center" wrapText="1"/>
    </xf>
    <xf numFmtId="14" fontId="4" fillId="0" borderId="0" xfId="0" applyNumberFormat="1" applyFont="1" applyFill="1" applyAlignment="1">
      <alignment horizontal="justify" vertical="center" wrapText="1"/>
    </xf>
    <xf numFmtId="0" fontId="24" fillId="4" borderId="1" xfId="0" applyFont="1" applyFill="1" applyBorder="1" applyAlignment="1">
      <alignment horizontal="justify" vertical="top" wrapText="1"/>
    </xf>
    <xf numFmtId="9" fontId="5" fillId="0" borderId="1" xfId="2" applyFont="1" applyFill="1" applyBorder="1" applyAlignment="1" applyProtection="1">
      <alignment horizontal="right" vertical="center" wrapText="1"/>
    </xf>
    <xf numFmtId="0" fontId="24" fillId="4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9" fontId="24" fillId="0" borderId="1" xfId="2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wrapText="1"/>
    </xf>
    <xf numFmtId="43" fontId="31" fillId="0" borderId="0" xfId="0" applyNumberFormat="1" applyFont="1" applyFill="1" applyBorder="1" applyAlignment="1">
      <alignment vertical="center" wrapText="1"/>
    </xf>
    <xf numFmtId="43" fontId="4" fillId="0" borderId="0" xfId="0" applyNumberFormat="1" applyFont="1" applyFill="1" applyBorder="1" applyAlignment="1">
      <alignment vertical="center" wrapText="1"/>
    </xf>
    <xf numFmtId="43" fontId="5" fillId="0" borderId="1" xfId="0" applyNumberFormat="1" applyFont="1" applyFill="1" applyBorder="1" applyAlignment="1">
      <alignment horizontal="right" wrapText="1"/>
    </xf>
    <xf numFmtId="0" fontId="24" fillId="0" borderId="1" xfId="0" applyFont="1" applyFill="1" applyBorder="1" applyAlignment="1">
      <alignment horizontal="justify" wrapText="1"/>
    </xf>
    <xf numFmtId="9" fontId="24" fillId="4" borderId="1" xfId="2" applyFont="1" applyFill="1" applyBorder="1" applyAlignment="1">
      <alignment horizontal="right" vertical="center" wrapText="1"/>
    </xf>
    <xf numFmtId="43" fontId="24" fillId="0" borderId="1" xfId="1" applyNumberFormat="1" applyFont="1" applyFill="1" applyBorder="1" applyAlignment="1">
      <alignment horizontal="right" vertical="center" wrapText="1"/>
    </xf>
    <xf numFmtId="43" fontId="5" fillId="0" borderId="1" xfId="1" applyNumberFormat="1" applyFont="1" applyFill="1" applyBorder="1" applyAlignment="1">
      <alignment horizontal="right" vertical="center" wrapText="1"/>
    </xf>
    <xf numFmtId="43" fontId="5" fillId="0" borderId="1" xfId="1" applyNumberFormat="1" applyFont="1" applyFill="1" applyBorder="1" applyAlignment="1" applyProtection="1">
      <alignment horizontal="right" vertical="center" wrapText="1"/>
    </xf>
    <xf numFmtId="43" fontId="5" fillId="0" borderId="1" xfId="0" applyNumberFormat="1" applyFont="1" applyFill="1" applyBorder="1" applyAlignment="1">
      <alignment horizontal="right" vertical="center" wrapText="1"/>
    </xf>
    <xf numFmtId="43" fontId="24" fillId="4" borderId="1" xfId="1" applyNumberFormat="1" applyFont="1" applyFill="1" applyBorder="1" applyAlignment="1">
      <alignment horizontal="right" vertical="center" wrapText="1"/>
    </xf>
    <xf numFmtId="43" fontId="24" fillId="0" borderId="1" xfId="1" applyNumberFormat="1" applyFont="1" applyFill="1" applyBorder="1" applyAlignment="1" applyProtection="1">
      <alignment horizontal="right" vertical="center" wrapText="1"/>
    </xf>
    <xf numFmtId="43" fontId="10" fillId="0" borderId="4" xfId="1" applyNumberFormat="1" applyFont="1" applyFill="1" applyBorder="1" applyAlignment="1" applyProtection="1">
      <alignment horizontal="right" vertical="center" wrapText="1"/>
    </xf>
    <xf numFmtId="43" fontId="16" fillId="0" borderId="4" xfId="0" applyNumberFormat="1" applyFont="1" applyFill="1" applyBorder="1" applyAlignment="1" applyProtection="1">
      <alignment horizontal="right" vertical="center" wrapText="1"/>
    </xf>
    <xf numFmtId="43" fontId="5" fillId="4" borderId="1" xfId="1" applyNumberFormat="1" applyFont="1" applyFill="1" applyBorder="1" applyAlignment="1">
      <alignment horizontal="right" vertical="center" wrapText="1"/>
    </xf>
    <xf numFmtId="43" fontId="5" fillId="4" borderId="1" xfId="1" applyNumberFormat="1" applyFont="1" applyFill="1" applyBorder="1" applyAlignment="1" applyProtection="1">
      <alignment horizontal="right" vertical="center" wrapText="1"/>
    </xf>
    <xf numFmtId="43" fontId="5" fillId="4" borderId="1" xfId="1" applyFont="1" applyFill="1" applyBorder="1" applyAlignment="1" applyProtection="1">
      <alignment horizontal="right" vertical="center" wrapText="1"/>
    </xf>
    <xf numFmtId="0" fontId="16" fillId="0" borderId="8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justify" vertical="top" wrapText="1"/>
    </xf>
    <xf numFmtId="43" fontId="5" fillId="0" borderId="1" xfId="0" applyNumberFormat="1" applyFont="1" applyFill="1" applyBorder="1" applyAlignment="1" applyProtection="1">
      <alignment horizontal="right" vertical="center" wrapText="1"/>
    </xf>
    <xf numFmtId="43" fontId="24" fillId="0" borderId="1" xfId="0" applyNumberFormat="1" applyFont="1" applyFill="1" applyBorder="1" applyAlignment="1" applyProtection="1">
      <alignment horizontal="right" vertical="center" wrapText="1"/>
    </xf>
    <xf numFmtId="2" fontId="24" fillId="0" borderId="1" xfId="0" applyNumberFormat="1" applyFont="1" applyFill="1" applyBorder="1" applyAlignment="1" applyProtection="1">
      <alignment horizontal="right" vertical="center" wrapText="1"/>
    </xf>
    <xf numFmtId="43" fontId="24" fillId="0" borderId="7" xfId="0" applyNumberFormat="1" applyFont="1" applyFill="1" applyBorder="1" applyAlignment="1" applyProtection="1">
      <alignment horizontal="right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3" fontId="5" fillId="0" borderId="1" xfId="1" applyFont="1" applyFill="1" applyBorder="1" applyAlignment="1" applyProtection="1">
      <alignment horizontal="right" vertical="center" wrapText="1"/>
    </xf>
    <xf numFmtId="43" fontId="5" fillId="0" borderId="5" xfId="1" applyFont="1" applyFill="1" applyBorder="1" applyAlignment="1" applyProtection="1">
      <alignment horizontal="right" vertical="center" wrapText="1"/>
    </xf>
    <xf numFmtId="0" fontId="25" fillId="0" borderId="1" xfId="0" applyFont="1" applyFill="1" applyBorder="1" applyAlignment="1">
      <alignment horizontal="justify" wrapText="1"/>
    </xf>
    <xf numFmtId="164" fontId="29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top" wrapText="1"/>
    </xf>
    <xf numFmtId="164" fontId="10" fillId="0" borderId="8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2" fontId="16" fillId="0" borderId="1" xfId="0" applyNumberFormat="1" applyFont="1" applyFill="1" applyBorder="1" applyAlignment="1" applyProtection="1">
      <alignment horizontal="right" vertical="center" wrapText="1"/>
    </xf>
    <xf numFmtId="43" fontId="4" fillId="7" borderId="0" xfId="0" applyNumberFormat="1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 wrapText="1"/>
    </xf>
    <xf numFmtId="0" fontId="18" fillId="7" borderId="0" xfId="0" applyFont="1" applyFill="1" applyBorder="1" applyAlignment="1">
      <alignment vertical="center" wrapText="1"/>
    </xf>
    <xf numFmtId="9" fontId="5" fillId="0" borderId="1" xfId="2" applyFont="1" applyFill="1" applyBorder="1" applyAlignment="1">
      <alignment horizontal="right" vertical="center" wrapText="1"/>
    </xf>
    <xf numFmtId="43" fontId="28" fillId="0" borderId="1" xfId="1" applyNumberFormat="1" applyFont="1" applyFill="1" applyBorder="1" applyAlignment="1" applyProtection="1">
      <alignment horizontal="right" vertical="center" wrapText="1"/>
    </xf>
    <xf numFmtId="43" fontId="16" fillId="0" borderId="4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vertical="center" wrapText="1"/>
    </xf>
    <xf numFmtId="43" fontId="5" fillId="0" borderId="1" xfId="1" applyFont="1" applyFill="1" applyBorder="1" applyAlignment="1">
      <alignment horizontal="right" vertical="center" wrapText="1"/>
    </xf>
    <xf numFmtId="43" fontId="24" fillId="0" borderId="1" xfId="1" applyFont="1" applyFill="1" applyBorder="1" applyAlignment="1" applyProtection="1">
      <alignment horizontal="right" vertical="center" wrapText="1"/>
    </xf>
    <xf numFmtId="0" fontId="24" fillId="0" borderId="1" xfId="0" applyFont="1" applyFill="1" applyBorder="1" applyAlignment="1">
      <alignment horizontal="justify" vertical="top" wrapText="1"/>
    </xf>
    <xf numFmtId="43" fontId="24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8" fillId="6" borderId="0" xfId="0" applyFont="1" applyFill="1" applyBorder="1" applyAlignment="1">
      <alignment vertical="center" wrapText="1"/>
    </xf>
    <xf numFmtId="0" fontId="17" fillId="6" borderId="0" xfId="0" applyFont="1" applyFill="1" applyBorder="1" applyAlignment="1">
      <alignment vertical="center" wrapText="1"/>
    </xf>
    <xf numFmtId="43" fontId="24" fillId="8" borderId="1" xfId="1" applyNumberFormat="1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justify" wrapText="1"/>
    </xf>
    <xf numFmtId="43" fontId="5" fillId="10" borderId="1" xfId="1" applyNumberFormat="1" applyFont="1" applyFill="1" applyBorder="1" applyAlignment="1">
      <alignment horizontal="right" vertical="center" wrapText="1"/>
    </xf>
    <xf numFmtId="43" fontId="5" fillId="10" borderId="1" xfId="1" applyNumberFormat="1" applyFont="1" applyFill="1" applyBorder="1" applyAlignment="1" applyProtection="1">
      <alignment horizontal="right" vertical="center" wrapText="1"/>
    </xf>
    <xf numFmtId="9" fontId="5" fillId="10" borderId="1" xfId="2" applyFont="1" applyFill="1" applyBorder="1" applyAlignment="1">
      <alignment horizontal="right" vertical="center" wrapText="1"/>
    </xf>
    <xf numFmtId="0" fontId="24" fillId="4" borderId="1" xfId="0" applyFont="1" applyFill="1" applyBorder="1" applyAlignment="1">
      <alignment horizontal="justify" wrapText="1"/>
    </xf>
    <xf numFmtId="9" fontId="5" fillId="4" borderId="1" xfId="2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justify" wrapText="1"/>
    </xf>
    <xf numFmtId="0" fontId="20" fillId="4" borderId="1" xfId="0" applyFont="1" applyFill="1" applyBorder="1" applyAlignment="1">
      <alignment horizontal="justify" wrapText="1"/>
    </xf>
    <xf numFmtId="0" fontId="5" fillId="4" borderId="1" xfId="0" applyFont="1" applyFill="1" applyBorder="1" applyAlignment="1">
      <alignment horizontal="justify" vertical="center" wrapText="1"/>
    </xf>
    <xf numFmtId="43" fontId="5" fillId="4" borderId="1" xfId="0" applyNumberFormat="1" applyFont="1" applyFill="1" applyBorder="1" applyAlignment="1">
      <alignment horizontal="right" vertical="center" wrapText="1"/>
    </xf>
    <xf numFmtId="0" fontId="24" fillId="4" borderId="1" xfId="0" applyFont="1" applyFill="1" applyBorder="1" applyAlignment="1">
      <alignment horizontal="justify" vertical="center" wrapText="1"/>
    </xf>
    <xf numFmtId="43" fontId="24" fillId="0" borderId="1" xfId="1" applyFont="1" applyFill="1" applyBorder="1" applyAlignment="1">
      <alignment horizontal="right" vertical="center" wrapText="1"/>
    </xf>
    <xf numFmtId="2" fontId="16" fillId="0" borderId="4" xfId="0" applyNumberFormat="1" applyFont="1" applyFill="1" applyBorder="1" applyAlignment="1" applyProtection="1">
      <alignment horizontal="right" vertical="center" wrapText="1"/>
    </xf>
    <xf numFmtId="0" fontId="24" fillId="8" borderId="1" xfId="0" applyFont="1" applyFill="1" applyBorder="1" applyAlignment="1">
      <alignment horizontal="justify" vertical="center" wrapText="1"/>
    </xf>
    <xf numFmtId="9" fontId="24" fillId="8" borderId="1" xfId="2" applyFont="1" applyFill="1" applyBorder="1" applyAlignment="1">
      <alignment horizontal="right" vertical="center" wrapText="1"/>
    </xf>
    <xf numFmtId="0" fontId="32" fillId="0" borderId="7" xfId="0" applyFont="1" applyFill="1" applyBorder="1" applyAlignment="1">
      <alignment horizontal="justify" vertical="center" wrapText="1"/>
    </xf>
    <xf numFmtId="0" fontId="32" fillId="0" borderId="1" xfId="0" applyFont="1" applyFill="1" applyBorder="1" applyAlignment="1">
      <alignment horizontal="justify" vertical="center" wrapText="1"/>
    </xf>
    <xf numFmtId="0" fontId="5" fillId="4" borderId="1" xfId="2" applyNumberFormat="1" applyFont="1" applyFill="1" applyBorder="1" applyAlignment="1">
      <alignment horizontal="right" vertical="center" wrapText="1"/>
    </xf>
    <xf numFmtId="0" fontId="24" fillId="4" borderId="1" xfId="2" applyNumberFormat="1" applyFont="1" applyFill="1" applyBorder="1" applyAlignment="1">
      <alignment horizontal="right" vertical="center" wrapText="1"/>
    </xf>
    <xf numFmtId="43" fontId="18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4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wrapText="1"/>
    </xf>
    <xf numFmtId="164" fontId="22" fillId="0" borderId="0" xfId="0" applyNumberFormat="1" applyFont="1" applyFill="1" applyAlignment="1">
      <alignment horizontal="right" wrapText="1"/>
    </xf>
    <xf numFmtId="164" fontId="10" fillId="0" borderId="0" xfId="0" applyNumberFormat="1" applyFont="1" applyFill="1" applyBorder="1" applyAlignment="1">
      <alignment horizontal="left" wrapText="1"/>
    </xf>
    <xf numFmtId="164" fontId="10" fillId="0" borderId="8" xfId="0" applyNumberFormat="1" applyFont="1" applyFill="1" applyBorder="1" applyAlignment="1">
      <alignment horizontal="center" wrapText="1"/>
    </xf>
    <xf numFmtId="0" fontId="20" fillId="3" borderId="2" xfId="0" applyFont="1" applyFill="1" applyBorder="1" applyAlignment="1" applyProtection="1">
      <alignment horizontal="left" vertical="center" wrapText="1"/>
    </xf>
    <xf numFmtId="0" fontId="20" fillId="3" borderId="3" xfId="0" applyFont="1" applyFill="1" applyBorder="1" applyAlignment="1" applyProtection="1">
      <alignment horizontal="left" vertical="center" wrapText="1"/>
    </xf>
    <xf numFmtId="0" fontId="20" fillId="3" borderId="4" xfId="0" applyFont="1" applyFill="1" applyBorder="1" applyAlignment="1" applyProtection="1">
      <alignment horizontal="left" vertical="center" wrapText="1"/>
    </xf>
    <xf numFmtId="0" fontId="30" fillId="3" borderId="11" xfId="0" applyFont="1" applyFill="1" applyBorder="1" applyAlignment="1">
      <alignment horizontal="left" vertical="center" wrapText="1"/>
    </xf>
    <xf numFmtId="0" fontId="30" fillId="3" borderId="9" xfId="0" applyFont="1" applyFill="1" applyBorder="1" applyAlignment="1">
      <alignment horizontal="left" vertical="center" wrapText="1"/>
    </xf>
    <xf numFmtId="0" fontId="30" fillId="3" borderId="1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3" fontId="5" fillId="0" borderId="2" xfId="1" applyNumberFormat="1" applyFont="1" applyFill="1" applyBorder="1" applyAlignment="1">
      <alignment horizontal="center" vertical="center" wrapText="1"/>
    </xf>
    <xf numFmtId="43" fontId="5" fillId="0" borderId="3" xfId="1" applyNumberFormat="1" applyFont="1" applyFill="1" applyBorder="1" applyAlignment="1">
      <alignment horizontal="center" vertical="center" wrapText="1"/>
    </xf>
    <xf numFmtId="43" fontId="5" fillId="0" borderId="4" xfId="1" applyNumberFormat="1" applyFont="1" applyFill="1" applyBorder="1" applyAlignment="1">
      <alignment horizontal="center" vertical="center" wrapText="1"/>
    </xf>
    <xf numFmtId="43" fontId="5" fillId="0" borderId="2" xfId="0" applyNumberFormat="1" applyFont="1" applyFill="1" applyBorder="1" applyAlignment="1">
      <alignment horizontal="left" wrapText="1"/>
    </xf>
    <xf numFmtId="43" fontId="5" fillId="0" borderId="3" xfId="0" applyNumberFormat="1" applyFont="1" applyFill="1" applyBorder="1" applyAlignment="1">
      <alignment horizontal="left" wrapText="1"/>
    </xf>
    <xf numFmtId="43" fontId="5" fillId="0" borderId="4" xfId="0" applyNumberFormat="1" applyFont="1" applyFill="1" applyBorder="1" applyAlignment="1">
      <alignment horizontal="left" wrapText="1"/>
    </xf>
    <xf numFmtId="2" fontId="16" fillId="0" borderId="5" xfId="0" applyNumberFormat="1" applyFont="1" applyFill="1" applyBorder="1" applyAlignment="1" applyProtection="1">
      <alignment horizontal="left" vertical="center" wrapText="1"/>
    </xf>
    <xf numFmtId="2" fontId="16" fillId="0" borderId="6" xfId="0" applyNumberFormat="1" applyFont="1" applyFill="1" applyBorder="1" applyAlignment="1" applyProtection="1">
      <alignment horizontal="left" vertical="center" wrapText="1"/>
    </xf>
    <xf numFmtId="2" fontId="16" fillId="0" borderId="7" xfId="0" applyNumberFormat="1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>
      <alignment horizontal="left" vertical="top" wrapText="1"/>
    </xf>
    <xf numFmtId="0" fontId="20" fillId="9" borderId="2" xfId="0" applyFont="1" applyFill="1" applyBorder="1" applyAlignment="1">
      <alignment horizontal="left" vertical="center" wrapText="1"/>
    </xf>
    <xf numFmtId="0" fontId="20" fillId="9" borderId="3" xfId="0" applyFont="1" applyFill="1" applyBorder="1" applyAlignment="1">
      <alignment horizontal="left" vertical="center" wrapText="1"/>
    </xf>
    <xf numFmtId="0" fontId="20" fillId="9" borderId="4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 applyProtection="1">
      <alignment horizontal="left" vertical="top" wrapText="1"/>
    </xf>
    <xf numFmtId="2" fontId="3" fillId="0" borderId="6" xfId="0" applyNumberFormat="1" applyFont="1" applyFill="1" applyBorder="1" applyAlignment="1" applyProtection="1">
      <alignment horizontal="left" vertical="top" wrapText="1"/>
    </xf>
    <xf numFmtId="2" fontId="3" fillId="0" borderId="7" xfId="0" applyNumberFormat="1" applyFont="1" applyFill="1" applyBorder="1" applyAlignment="1" applyProtection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26" fillId="5" borderId="2" xfId="0" applyFont="1" applyFill="1" applyBorder="1" applyAlignment="1">
      <alignment horizontal="left" vertical="center" wrapText="1"/>
    </xf>
    <xf numFmtId="0" fontId="26" fillId="5" borderId="3" xfId="0" applyFont="1" applyFill="1" applyBorder="1" applyAlignment="1">
      <alignment horizontal="left" vertical="center" wrapText="1"/>
    </xf>
    <xf numFmtId="0" fontId="26" fillId="5" borderId="4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CCFFCC"/>
      <color rgb="FFB6DFE4"/>
      <color rgb="FFF9FDE7"/>
      <color rgb="FFF1FBE9"/>
      <color rgb="FFCCFFFF"/>
      <color rgb="FF99FFCC"/>
      <color rgb="FFCCFF99"/>
      <color rgb="FF99FF99"/>
      <color rgb="FFA0EFFA"/>
      <color rgb="FFE5BA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7"/>
  <sheetViews>
    <sheetView workbookViewId="0">
      <selection sqref="A1:XFD1048576"/>
    </sheetView>
  </sheetViews>
  <sheetFormatPr defaultRowHeight="12.75" x14ac:dyDescent="0.2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6384" width="9.140625" style="1"/>
  </cols>
  <sheetData>
    <row r="1" spans="2:13" s="4" customFormat="1" ht="15" x14ac:dyDescent="0.25">
      <c r="J1" s="9" t="s">
        <v>73</v>
      </c>
    </row>
    <row r="2" spans="2:13" s="4" customFormat="1" ht="15" x14ac:dyDescent="0.25">
      <c r="J2" s="9" t="s">
        <v>68</v>
      </c>
    </row>
    <row r="3" spans="2:13" s="4" customFormat="1" ht="15" x14ac:dyDescent="0.25">
      <c r="J3" s="9" t="s">
        <v>69</v>
      </c>
    </row>
    <row r="4" spans="2:13" s="4" customFormat="1" ht="15.75" x14ac:dyDescent="0.25">
      <c r="J4" s="5"/>
    </row>
    <row r="5" spans="2:13" s="4" customFormat="1" ht="15.75" x14ac:dyDescent="0.25">
      <c r="J5" s="5"/>
    </row>
    <row r="6" spans="2:13" s="4" customFormat="1" ht="16.5" x14ac:dyDescent="0.25">
      <c r="B6" s="138" t="s">
        <v>60</v>
      </c>
      <c r="C6" s="138"/>
      <c r="D6" s="138"/>
      <c r="E6" s="138"/>
      <c r="F6" s="138"/>
      <c r="G6" s="138"/>
      <c r="H6" s="138"/>
      <c r="I6" s="138"/>
      <c r="J6" s="138"/>
    </row>
    <row r="7" spans="2:13" s="4" customFormat="1" x14ac:dyDescent="0.2"/>
    <row r="8" spans="2:13" s="4" customFormat="1" x14ac:dyDescent="0.2">
      <c r="B8" s="139" t="s">
        <v>29</v>
      </c>
      <c r="C8" s="139" t="s">
        <v>0</v>
      </c>
      <c r="D8" s="139" t="s">
        <v>72</v>
      </c>
      <c r="E8" s="139" t="s">
        <v>1</v>
      </c>
      <c r="F8" s="139" t="s">
        <v>30</v>
      </c>
      <c r="G8" s="139"/>
      <c r="H8" s="139"/>
      <c r="I8" s="139"/>
      <c r="J8" s="139" t="s">
        <v>2</v>
      </c>
    </row>
    <row r="9" spans="2:13" s="4" customFormat="1" x14ac:dyDescent="0.2">
      <c r="B9" s="139"/>
      <c r="C9" s="139"/>
      <c r="D9" s="139"/>
      <c r="E9" s="139"/>
      <c r="F9" s="139" t="s">
        <v>3</v>
      </c>
      <c r="G9" s="139" t="s">
        <v>4</v>
      </c>
      <c r="H9" s="139"/>
      <c r="I9" s="139"/>
      <c r="J9" s="139"/>
    </row>
    <row r="10" spans="2:13" s="4" customFormat="1" x14ac:dyDescent="0.2">
      <c r="B10" s="139"/>
      <c r="C10" s="139"/>
      <c r="D10" s="139"/>
      <c r="E10" s="139"/>
      <c r="F10" s="139"/>
      <c r="G10" s="14" t="s">
        <v>5</v>
      </c>
      <c r="H10" s="14" t="s">
        <v>6</v>
      </c>
      <c r="I10" s="14" t="s">
        <v>7</v>
      </c>
      <c r="J10" s="139"/>
    </row>
    <row r="11" spans="2:13" s="4" customFormat="1" x14ac:dyDescent="0.2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3" s="4" customFormat="1" x14ac:dyDescent="0.2">
      <c r="B12" s="146" t="s">
        <v>63</v>
      </c>
      <c r="C12" s="146"/>
      <c r="D12" s="146"/>
      <c r="E12" s="146"/>
      <c r="F12" s="146"/>
      <c r="G12" s="146"/>
      <c r="H12" s="146"/>
      <c r="I12" s="146"/>
      <c r="J12" s="146"/>
    </row>
    <row r="13" spans="2:13" s="4" customFormat="1" x14ac:dyDescent="0.2">
      <c r="B13" s="146" t="s">
        <v>58</v>
      </c>
      <c r="C13" s="146"/>
      <c r="D13" s="146"/>
      <c r="E13" s="146"/>
      <c r="F13" s="146"/>
      <c r="G13" s="146"/>
      <c r="H13" s="146"/>
      <c r="I13" s="146"/>
      <c r="J13" s="146"/>
    </row>
    <row r="14" spans="2:13" s="4" customFormat="1" x14ac:dyDescent="0.2">
      <c r="B14" s="147" t="s">
        <v>8</v>
      </c>
      <c r="C14" s="148"/>
      <c r="D14" s="148"/>
      <c r="E14" s="148"/>
      <c r="F14" s="148"/>
      <c r="G14" s="148"/>
      <c r="H14" s="148"/>
      <c r="I14" s="148"/>
      <c r="J14" s="149"/>
    </row>
    <row r="15" spans="2:13" s="4" customFormat="1" x14ac:dyDescent="0.2">
      <c r="B15" s="150" t="s">
        <v>31</v>
      </c>
      <c r="C15" s="143" t="s">
        <v>9</v>
      </c>
      <c r="D15" s="140" t="s">
        <v>43</v>
      </c>
      <c r="E15" s="140" t="s">
        <v>10</v>
      </c>
      <c r="F15" s="6">
        <f>F16+F17</f>
        <v>23731.8</v>
      </c>
      <c r="G15" s="6">
        <f>G16+G17</f>
        <v>7910.6</v>
      </c>
      <c r="H15" s="6">
        <f t="shared" ref="H15" si="0">H16+H17</f>
        <v>7910.6</v>
      </c>
      <c r="I15" s="6">
        <f>I16+I17</f>
        <v>7910.6</v>
      </c>
      <c r="J15" s="14" t="s">
        <v>25</v>
      </c>
      <c r="M15" s="8"/>
    </row>
    <row r="16" spans="2:13" s="4" customFormat="1" ht="38.25" x14ac:dyDescent="0.2">
      <c r="B16" s="151"/>
      <c r="C16" s="144"/>
      <c r="D16" s="141"/>
      <c r="E16" s="141"/>
      <c r="F16" s="6">
        <f>G16+H16+I16</f>
        <v>23002.7</v>
      </c>
      <c r="G16" s="6">
        <f>7910.6-729.1</f>
        <v>7181.5</v>
      </c>
      <c r="H16" s="6">
        <v>7910.6</v>
      </c>
      <c r="I16" s="6">
        <v>7910.6</v>
      </c>
      <c r="J16" s="14" t="s">
        <v>70</v>
      </c>
      <c r="M16" s="8"/>
    </row>
    <row r="17" spans="2:13" s="4" customFormat="1" ht="25.5" x14ac:dyDescent="0.2">
      <c r="B17" s="152"/>
      <c r="C17" s="145"/>
      <c r="D17" s="142"/>
      <c r="E17" s="142"/>
      <c r="F17" s="6">
        <f>G17+H17+I17</f>
        <v>729.1</v>
      </c>
      <c r="G17" s="6">
        <v>729.1</v>
      </c>
      <c r="H17" s="6">
        <v>0</v>
      </c>
      <c r="I17" s="6">
        <v>0</v>
      </c>
      <c r="J17" s="14" t="s">
        <v>42</v>
      </c>
      <c r="M17" s="8"/>
    </row>
    <row r="18" spans="2:13" s="4" customFormat="1" ht="51" x14ac:dyDescent="0.2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1">G18+H18+I18</f>
        <v>769.80000000000007</v>
      </c>
      <c r="G18" s="6">
        <v>256.60000000000002</v>
      </c>
      <c r="H18" s="6">
        <v>256.60000000000002</v>
      </c>
      <c r="I18" s="6">
        <v>256.60000000000002</v>
      </c>
      <c r="J18" s="14" t="s">
        <v>70</v>
      </c>
      <c r="M18" s="8"/>
    </row>
    <row r="19" spans="2:13" s="4" customFormat="1" x14ac:dyDescent="0.2">
      <c r="B19" s="150" t="s">
        <v>33</v>
      </c>
      <c r="C19" s="143" t="s">
        <v>12</v>
      </c>
      <c r="D19" s="140" t="s">
        <v>43</v>
      </c>
      <c r="E19" s="140" t="s">
        <v>10</v>
      </c>
      <c r="F19" s="6">
        <f>G19+H19+I19</f>
        <v>2191.1999999999998</v>
      </c>
      <c r="G19" s="6">
        <f>G20+G21</f>
        <v>792</v>
      </c>
      <c r="H19" s="6">
        <f>H20+H21</f>
        <v>699.6</v>
      </c>
      <c r="I19" s="6">
        <f>I20+I21</f>
        <v>699.6</v>
      </c>
      <c r="J19" s="14" t="s">
        <v>25</v>
      </c>
      <c r="M19" s="8"/>
    </row>
    <row r="20" spans="2:13" s="4" customFormat="1" ht="38.25" x14ac:dyDescent="0.2">
      <c r="B20" s="151"/>
      <c r="C20" s="144"/>
      <c r="D20" s="141"/>
      <c r="E20" s="141"/>
      <c r="F20" s="6">
        <f>G20+H20+I20</f>
        <v>1565</v>
      </c>
      <c r="G20" s="6">
        <f>699.6-G21+92.4</f>
        <v>165.79999999999998</v>
      </c>
      <c r="H20" s="6">
        <v>699.6</v>
      </c>
      <c r="I20" s="6">
        <v>699.6</v>
      </c>
      <c r="J20" s="14" t="s">
        <v>70</v>
      </c>
      <c r="K20" s="8"/>
      <c r="M20" s="8"/>
    </row>
    <row r="21" spans="2:13" s="4" customFormat="1" ht="63.75" x14ac:dyDescent="0.2">
      <c r="B21" s="152"/>
      <c r="C21" s="145"/>
      <c r="D21" s="142"/>
      <c r="E21" s="142"/>
      <c r="F21" s="6">
        <f>G21+H21+I21</f>
        <v>626.20000000000005</v>
      </c>
      <c r="G21" s="6">
        <v>626.20000000000005</v>
      </c>
      <c r="H21" s="6">
        <v>0</v>
      </c>
      <c r="I21" s="6">
        <v>0</v>
      </c>
      <c r="J21" s="14" t="s">
        <v>78</v>
      </c>
      <c r="M21" s="8"/>
    </row>
    <row r="22" spans="2:13" s="4" customFormat="1" ht="51" x14ac:dyDescent="0.2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1"/>
        <v>948.9</v>
      </c>
      <c r="G22" s="6">
        <v>505.1</v>
      </c>
      <c r="H22" s="6">
        <v>221.9</v>
      </c>
      <c r="I22" s="6">
        <v>221.9</v>
      </c>
      <c r="J22" s="14" t="s">
        <v>70</v>
      </c>
      <c r="M22" s="8"/>
    </row>
    <row r="23" spans="2:13" s="4" customFormat="1" ht="51" x14ac:dyDescent="0.2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1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M23" s="8"/>
    </row>
    <row r="24" spans="2:13" s="4" customFormat="1" ht="51" x14ac:dyDescent="0.2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1"/>
        <v>105</v>
      </c>
      <c r="G24" s="6">
        <v>35</v>
      </c>
      <c r="H24" s="6">
        <v>35</v>
      </c>
      <c r="I24" s="6">
        <v>35</v>
      </c>
      <c r="J24" s="14" t="s">
        <v>70</v>
      </c>
      <c r="M24" s="8"/>
    </row>
    <row r="25" spans="2:13" s="4" customFormat="1" ht="51" x14ac:dyDescent="0.2">
      <c r="B25" s="7" t="s">
        <v>37</v>
      </c>
      <c r="C25" s="12" t="s">
        <v>15</v>
      </c>
      <c r="D25" s="14" t="s">
        <v>43</v>
      </c>
      <c r="E25" s="14" t="s">
        <v>10</v>
      </c>
      <c r="F25" s="139" t="s">
        <v>16</v>
      </c>
      <c r="G25" s="139"/>
      <c r="H25" s="139"/>
      <c r="I25" s="139"/>
      <c r="J25" s="139"/>
      <c r="M25" s="8"/>
    </row>
    <row r="26" spans="2:13" s="4" customFormat="1" x14ac:dyDescent="0.2">
      <c r="B26" s="140"/>
      <c r="C26" s="143" t="s">
        <v>17</v>
      </c>
      <c r="D26" s="140" t="s">
        <v>43</v>
      </c>
      <c r="E26" s="140" t="s">
        <v>10</v>
      </c>
      <c r="F26" s="6">
        <f>G26+H26+I26</f>
        <v>30909.000000000007</v>
      </c>
      <c r="G26" s="6">
        <f>G27+G28</f>
        <v>10553.400000000001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0"/>
      <c r="M26" s="8"/>
    </row>
    <row r="27" spans="2:13" s="4" customFormat="1" ht="38.25" x14ac:dyDescent="0.2">
      <c r="B27" s="141"/>
      <c r="C27" s="144"/>
      <c r="D27" s="141"/>
      <c r="E27" s="141"/>
      <c r="F27" s="6">
        <f>G27+H27+I27</f>
        <v>29553.700000000004</v>
      </c>
      <c r="G27" s="6">
        <f>G16+G18+G20+G22+G23+G24</f>
        <v>9198.1</v>
      </c>
      <c r="H27" s="6">
        <f t="shared" ref="H27" si="2">H16+H18+H20+H22+H23+H24</f>
        <v>10177.800000000001</v>
      </c>
      <c r="I27" s="6">
        <f>I16+I18+I20+I22+I23+I24</f>
        <v>10177.800000000001</v>
      </c>
      <c r="J27" s="14" t="s">
        <v>70</v>
      </c>
      <c r="L27" s="10"/>
      <c r="M27" s="8"/>
    </row>
    <row r="28" spans="2:13" s="4" customFormat="1" ht="25.5" x14ac:dyDescent="0.2">
      <c r="B28" s="142"/>
      <c r="C28" s="145"/>
      <c r="D28" s="142"/>
      <c r="E28" s="142"/>
      <c r="F28" s="6">
        <f>G28+H28+I28</f>
        <v>1355.3000000000002</v>
      </c>
      <c r="G28" s="6">
        <f>G17+G21</f>
        <v>1355.3000000000002</v>
      </c>
      <c r="H28" s="6">
        <f t="shared" ref="H28:I28" si="3">H17+H21</f>
        <v>0</v>
      </c>
      <c r="I28" s="6">
        <f t="shared" si="3"/>
        <v>0</v>
      </c>
      <c r="J28" s="14" t="s">
        <v>42</v>
      </c>
      <c r="L28" s="10"/>
      <c r="M28" s="8"/>
    </row>
    <row r="29" spans="2:13" x14ac:dyDescent="0.2">
      <c r="B29" s="146" t="s">
        <v>18</v>
      </c>
      <c r="C29" s="146"/>
      <c r="D29" s="146"/>
      <c r="E29" s="146"/>
      <c r="F29" s="146"/>
      <c r="G29" s="146"/>
      <c r="H29" s="146"/>
      <c r="I29" s="146"/>
      <c r="J29" s="146"/>
      <c r="M29" s="8"/>
    </row>
    <row r="30" spans="2:13" ht="51" x14ac:dyDescent="0.2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M30" s="8"/>
    </row>
    <row r="31" spans="2:13" ht="51" x14ac:dyDescent="0.2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4">H30</f>
        <v>8524.2999999999993</v>
      </c>
      <c r="I31" s="6">
        <f t="shared" si="4"/>
        <v>8524.2999999999993</v>
      </c>
      <c r="J31" s="14" t="s">
        <v>70</v>
      </c>
      <c r="M31" s="8"/>
    </row>
    <row r="32" spans="2:13" x14ac:dyDescent="0.2">
      <c r="B32" s="153"/>
      <c r="C32" s="143" t="s">
        <v>21</v>
      </c>
      <c r="D32" s="156"/>
      <c r="E32" s="140" t="s">
        <v>10</v>
      </c>
      <c r="F32" s="6">
        <f>G32+H32+I32</f>
        <v>56481.9</v>
      </c>
      <c r="G32" s="6">
        <f>G33+G34</f>
        <v>19077.7</v>
      </c>
      <c r="H32" s="6">
        <f t="shared" ref="H32" si="5">H33+H34</f>
        <v>18702.099999999999</v>
      </c>
      <c r="I32" s="6">
        <f>I33+I34</f>
        <v>18702.099999999999</v>
      </c>
      <c r="J32" s="14" t="s">
        <v>25</v>
      </c>
      <c r="L32" s="2"/>
      <c r="M32" s="8"/>
    </row>
    <row r="33" spans="2:13" ht="38.25" x14ac:dyDescent="0.2">
      <c r="B33" s="154"/>
      <c r="C33" s="144"/>
      <c r="D33" s="157"/>
      <c r="E33" s="141"/>
      <c r="F33" s="6">
        <f>G33+H33+I33</f>
        <v>55126.6</v>
      </c>
      <c r="G33" s="6">
        <f>G31+G27</f>
        <v>17722.400000000001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2"/>
      <c r="M33" s="8"/>
    </row>
    <row r="34" spans="2:13" ht="25.5" x14ac:dyDescent="0.2">
      <c r="B34" s="155"/>
      <c r="C34" s="145"/>
      <c r="D34" s="158"/>
      <c r="E34" s="142"/>
      <c r="F34" s="6">
        <f>G34+H34+I34</f>
        <v>1355.3000000000002</v>
      </c>
      <c r="G34" s="6">
        <f>G28</f>
        <v>1355.3000000000002</v>
      </c>
      <c r="H34" s="6">
        <f t="shared" ref="H34" si="6">H28</f>
        <v>0</v>
      </c>
      <c r="I34" s="6">
        <f>I28</f>
        <v>0</v>
      </c>
      <c r="J34" s="14" t="s">
        <v>42</v>
      </c>
      <c r="L34" s="2"/>
      <c r="M34" s="8"/>
    </row>
    <row r="35" spans="2:13" x14ac:dyDescent="0.2">
      <c r="B35" s="147" t="s">
        <v>59</v>
      </c>
      <c r="C35" s="148"/>
      <c r="D35" s="148"/>
      <c r="E35" s="148"/>
      <c r="F35" s="148"/>
      <c r="G35" s="148"/>
      <c r="H35" s="148"/>
      <c r="I35" s="148"/>
      <c r="J35" s="149"/>
      <c r="M35" s="8"/>
    </row>
    <row r="36" spans="2:13" x14ac:dyDescent="0.2">
      <c r="B36" s="147" t="s">
        <v>56</v>
      </c>
      <c r="C36" s="148"/>
      <c r="D36" s="148"/>
      <c r="E36" s="148"/>
      <c r="F36" s="148"/>
      <c r="G36" s="148"/>
      <c r="H36" s="148"/>
      <c r="I36" s="148"/>
      <c r="J36" s="149"/>
      <c r="M36" s="8"/>
    </row>
    <row r="37" spans="2:13" ht="38.25" x14ac:dyDescent="0.2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M37" s="8"/>
    </row>
    <row r="38" spans="2:13" ht="38.25" x14ac:dyDescent="0.2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7">H37</f>
        <v>0</v>
      </c>
      <c r="I38" s="6">
        <f t="shared" si="7"/>
        <v>0</v>
      </c>
      <c r="J38" s="14" t="s">
        <v>42</v>
      </c>
      <c r="M38" s="8"/>
    </row>
    <row r="39" spans="2:13" ht="38.25" x14ac:dyDescent="0.2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7"/>
        <v>0</v>
      </c>
      <c r="I39" s="6">
        <f t="shared" si="7"/>
        <v>0</v>
      </c>
      <c r="J39" s="14" t="s">
        <v>42</v>
      </c>
      <c r="M39" s="8"/>
    </row>
    <row r="40" spans="2:13" x14ac:dyDescent="0.2">
      <c r="B40" s="147" t="s">
        <v>64</v>
      </c>
      <c r="C40" s="148"/>
      <c r="D40" s="148"/>
      <c r="E40" s="148"/>
      <c r="F40" s="148"/>
      <c r="G40" s="148"/>
      <c r="H40" s="148"/>
      <c r="I40" s="148"/>
      <c r="J40" s="149"/>
      <c r="M40" s="8"/>
    </row>
    <row r="41" spans="2:13" x14ac:dyDescent="0.2">
      <c r="B41" s="147" t="s">
        <v>44</v>
      </c>
      <c r="C41" s="148"/>
      <c r="D41" s="148"/>
      <c r="E41" s="148"/>
      <c r="F41" s="148"/>
      <c r="G41" s="148"/>
      <c r="H41" s="148"/>
      <c r="I41" s="148"/>
      <c r="J41" s="149"/>
      <c r="M41" s="8"/>
    </row>
    <row r="42" spans="2:13" x14ac:dyDescent="0.2">
      <c r="B42" s="146" t="s">
        <v>45</v>
      </c>
      <c r="C42" s="146"/>
      <c r="D42" s="146"/>
      <c r="E42" s="146"/>
      <c r="F42" s="146"/>
      <c r="G42" s="146"/>
      <c r="H42" s="146"/>
      <c r="I42" s="146"/>
      <c r="J42" s="146"/>
      <c r="M42" s="8"/>
    </row>
    <row r="43" spans="2:13" ht="38.25" x14ac:dyDescent="0.2">
      <c r="B43" s="7" t="s">
        <v>40</v>
      </c>
      <c r="C43" s="12" t="s">
        <v>75</v>
      </c>
      <c r="D43" s="14" t="s">
        <v>22</v>
      </c>
      <c r="E43" s="14" t="s">
        <v>10</v>
      </c>
      <c r="F43" s="139" t="s">
        <v>16</v>
      </c>
      <c r="G43" s="139"/>
      <c r="H43" s="139"/>
      <c r="I43" s="139"/>
      <c r="J43" s="139"/>
      <c r="M43" s="8"/>
    </row>
    <row r="44" spans="2:13" ht="38.25" x14ac:dyDescent="0.2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M44" s="8"/>
    </row>
    <row r="45" spans="2:13" ht="38.25" x14ac:dyDescent="0.2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8">G45+H45+I45</f>
        <v>40</v>
      </c>
      <c r="G45" s="6">
        <v>0</v>
      </c>
      <c r="H45" s="6">
        <v>40</v>
      </c>
      <c r="I45" s="6">
        <v>0</v>
      </c>
      <c r="J45" s="14" t="s">
        <v>71</v>
      </c>
      <c r="M45" s="8"/>
    </row>
    <row r="46" spans="2:13" ht="51" x14ac:dyDescent="0.2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8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M46" s="8"/>
    </row>
    <row r="47" spans="2:13" x14ac:dyDescent="0.2">
      <c r="B47" s="139"/>
      <c r="C47" s="143" t="s">
        <v>48</v>
      </c>
      <c r="D47" s="139" t="s">
        <v>22</v>
      </c>
      <c r="E47" s="139" t="s">
        <v>10</v>
      </c>
      <c r="F47" s="6">
        <f>F46+F45+F44</f>
        <v>8968.5</v>
      </c>
      <c r="G47" s="6">
        <f t="shared" ref="G47:I47" si="9">G46+G45+G44</f>
        <v>2979.5</v>
      </c>
      <c r="H47" s="6">
        <f t="shared" si="9"/>
        <v>3009.5</v>
      </c>
      <c r="I47" s="6">
        <f t="shared" si="9"/>
        <v>2979.5</v>
      </c>
      <c r="J47" s="14" t="s">
        <v>25</v>
      </c>
      <c r="L47" s="2"/>
      <c r="M47" s="8"/>
    </row>
    <row r="48" spans="2:13" ht="38.25" x14ac:dyDescent="0.2">
      <c r="B48" s="139"/>
      <c r="C48" s="144"/>
      <c r="D48" s="139"/>
      <c r="E48" s="139"/>
      <c r="F48" s="6">
        <f>F44+F45</f>
        <v>60</v>
      </c>
      <c r="G48" s="6">
        <f t="shared" ref="G48:I48" si="10">G44+G45</f>
        <v>10</v>
      </c>
      <c r="H48" s="6">
        <f t="shared" si="10"/>
        <v>40</v>
      </c>
      <c r="I48" s="6">
        <f t="shared" si="10"/>
        <v>10</v>
      </c>
      <c r="J48" s="14" t="s">
        <v>70</v>
      </c>
      <c r="L48" s="2"/>
      <c r="M48" s="8"/>
    </row>
    <row r="49" spans="2:22" ht="25.5" x14ac:dyDescent="0.2">
      <c r="B49" s="139"/>
      <c r="C49" s="145"/>
      <c r="D49" s="139"/>
      <c r="E49" s="139"/>
      <c r="F49" s="6">
        <f>F46</f>
        <v>8908.5</v>
      </c>
      <c r="G49" s="6">
        <f t="shared" ref="G49:I49" si="11">G46</f>
        <v>2969.5</v>
      </c>
      <c r="H49" s="6">
        <f t="shared" si="11"/>
        <v>2969.5</v>
      </c>
      <c r="I49" s="6">
        <f t="shared" si="11"/>
        <v>2969.5</v>
      </c>
      <c r="J49" s="14" t="s">
        <v>54</v>
      </c>
      <c r="L49" s="2"/>
      <c r="M49" s="8"/>
    </row>
    <row r="50" spans="2:22" ht="28.5" customHeight="1" x14ac:dyDescent="0.2">
      <c r="B50" s="146" t="s">
        <v>49</v>
      </c>
      <c r="C50" s="146"/>
      <c r="D50" s="146"/>
      <c r="E50" s="146"/>
      <c r="F50" s="146"/>
      <c r="G50" s="146"/>
      <c r="H50" s="146"/>
      <c r="I50" s="146"/>
      <c r="J50" s="146"/>
      <c r="M50" s="8"/>
    </row>
    <row r="51" spans="2:22" ht="31.5" customHeight="1" x14ac:dyDescent="0.2">
      <c r="B51" s="7" t="s">
        <v>50</v>
      </c>
      <c r="C51" s="12" t="s">
        <v>77</v>
      </c>
      <c r="D51" s="14" t="s">
        <v>22</v>
      </c>
      <c r="E51" s="14" t="s">
        <v>10</v>
      </c>
      <c r="F51" s="139" t="s">
        <v>16</v>
      </c>
      <c r="G51" s="139"/>
      <c r="H51" s="139"/>
      <c r="I51" s="139"/>
      <c r="J51" s="139"/>
      <c r="M51" s="8"/>
    </row>
    <row r="52" spans="2:22" ht="51" x14ac:dyDescent="0.2">
      <c r="B52" s="7" t="s">
        <v>51</v>
      </c>
      <c r="C52" s="12" t="s">
        <v>26</v>
      </c>
      <c r="D52" s="14" t="s">
        <v>22</v>
      </c>
      <c r="E52" s="14" t="s">
        <v>10</v>
      </c>
      <c r="F52" s="139" t="s">
        <v>16</v>
      </c>
      <c r="G52" s="139"/>
      <c r="H52" s="139"/>
      <c r="I52" s="139"/>
      <c r="J52" s="139"/>
      <c r="M52" s="8"/>
    </row>
    <row r="53" spans="2:22" ht="15.75" customHeight="1" x14ac:dyDescent="0.2">
      <c r="B53" s="159"/>
      <c r="C53" s="146" t="s">
        <v>52</v>
      </c>
      <c r="D53" s="139" t="s">
        <v>22</v>
      </c>
      <c r="E53" s="139" t="s">
        <v>10</v>
      </c>
      <c r="F53" s="6">
        <f>F47</f>
        <v>8968.5</v>
      </c>
      <c r="G53" s="6">
        <f t="shared" ref="G53:I53" si="12">G47</f>
        <v>2979.5</v>
      </c>
      <c r="H53" s="6">
        <f t="shared" si="12"/>
        <v>3009.5</v>
      </c>
      <c r="I53" s="6">
        <f t="shared" si="12"/>
        <v>2979.5</v>
      </c>
      <c r="J53" s="14" t="s">
        <v>25</v>
      </c>
      <c r="M53" s="8"/>
    </row>
    <row r="54" spans="2:22" ht="42" customHeight="1" x14ac:dyDescent="0.2">
      <c r="B54" s="159"/>
      <c r="C54" s="146"/>
      <c r="D54" s="139"/>
      <c r="E54" s="139"/>
      <c r="F54" s="6">
        <f t="shared" ref="F54:I55" si="13">F48</f>
        <v>60</v>
      </c>
      <c r="G54" s="6">
        <f t="shared" si="13"/>
        <v>10</v>
      </c>
      <c r="H54" s="6">
        <f t="shared" si="13"/>
        <v>40</v>
      </c>
      <c r="I54" s="6">
        <f t="shared" si="13"/>
        <v>10</v>
      </c>
      <c r="J54" s="14" t="s">
        <v>70</v>
      </c>
      <c r="M54" s="8"/>
    </row>
    <row r="55" spans="2:22" ht="25.5" x14ac:dyDescent="0.2">
      <c r="B55" s="159"/>
      <c r="C55" s="146"/>
      <c r="D55" s="139"/>
      <c r="E55" s="139"/>
      <c r="F55" s="6">
        <f t="shared" si="13"/>
        <v>8908.5</v>
      </c>
      <c r="G55" s="6">
        <f t="shared" si="13"/>
        <v>2969.5</v>
      </c>
      <c r="H55" s="6">
        <f t="shared" si="13"/>
        <v>2969.5</v>
      </c>
      <c r="I55" s="6">
        <f t="shared" si="13"/>
        <v>2969.5</v>
      </c>
      <c r="J55" s="14" t="s">
        <v>54</v>
      </c>
      <c r="M55" s="8"/>
    </row>
    <row r="56" spans="2:22" ht="34.5" customHeight="1" x14ac:dyDescent="0.2">
      <c r="B56" s="160"/>
      <c r="C56" s="146" t="s">
        <v>55</v>
      </c>
      <c r="D56" s="159"/>
      <c r="E56" s="139" t="s">
        <v>10</v>
      </c>
      <c r="F56" s="6">
        <f>F32+F39+F53</f>
        <v>65500.4</v>
      </c>
      <c r="G56" s="6">
        <f>G32+G39+G53</f>
        <v>22107.200000000001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S56" s="11"/>
      <c r="T56" s="11"/>
      <c r="U56" s="11"/>
      <c r="V56" s="11"/>
    </row>
    <row r="57" spans="2:22" ht="44.25" customHeight="1" x14ac:dyDescent="0.2">
      <c r="B57" s="160"/>
      <c r="C57" s="146"/>
      <c r="D57" s="159"/>
      <c r="E57" s="139"/>
      <c r="F57" s="6">
        <f>F33+F54</f>
        <v>55186.6</v>
      </c>
      <c r="G57" s="6">
        <f>G33+G54</f>
        <v>17732.400000000001</v>
      </c>
      <c r="H57" s="6">
        <f>H33+H54</f>
        <v>18742.099999999999</v>
      </c>
      <c r="I57" s="6">
        <f>I33+I54</f>
        <v>18712.099999999999</v>
      </c>
      <c r="J57" s="14" t="s">
        <v>70</v>
      </c>
      <c r="S57" s="11"/>
      <c r="T57" s="11"/>
      <c r="U57" s="11"/>
      <c r="V57" s="11"/>
    </row>
    <row r="58" spans="2:22" ht="31.5" customHeight="1" x14ac:dyDescent="0.2">
      <c r="B58" s="160"/>
      <c r="C58" s="146"/>
      <c r="D58" s="159"/>
      <c r="E58" s="139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S58" s="11"/>
      <c r="T58" s="11"/>
      <c r="U58" s="11"/>
      <c r="V58" s="11"/>
    </row>
    <row r="59" spans="2:22" ht="13.5" customHeight="1" x14ac:dyDescent="0.2">
      <c r="B59" s="15"/>
      <c r="C59" s="12" t="s">
        <v>67</v>
      </c>
      <c r="D59" s="15"/>
      <c r="E59" s="15"/>
      <c r="F59" s="3"/>
      <c r="G59" s="3"/>
      <c r="H59" s="3"/>
      <c r="I59" s="3"/>
      <c r="J59" s="15"/>
      <c r="M59" s="8"/>
    </row>
    <row r="60" spans="2:22" x14ac:dyDescent="0.2">
      <c r="B60" s="159"/>
      <c r="C60" s="146" t="s">
        <v>28</v>
      </c>
      <c r="D60" s="159"/>
      <c r="E60" s="139" t="s">
        <v>10</v>
      </c>
      <c r="F60" s="6">
        <f>F47</f>
        <v>8968.5</v>
      </c>
      <c r="G60" s="6">
        <f t="shared" ref="G60:H60" si="14">G47</f>
        <v>2979.5</v>
      </c>
      <c r="H60" s="6">
        <f t="shared" si="14"/>
        <v>3009.5</v>
      </c>
      <c r="I60" s="6">
        <f>I47</f>
        <v>2979.5</v>
      </c>
      <c r="J60" s="14" t="s">
        <v>25</v>
      </c>
      <c r="M60" s="8"/>
    </row>
    <row r="61" spans="2:22" ht="38.25" x14ac:dyDescent="0.2">
      <c r="B61" s="159"/>
      <c r="C61" s="146"/>
      <c r="D61" s="159"/>
      <c r="E61" s="139"/>
      <c r="F61" s="6">
        <f t="shared" ref="F61:I62" si="15">F48</f>
        <v>60</v>
      </c>
      <c r="G61" s="6">
        <f t="shared" si="15"/>
        <v>10</v>
      </c>
      <c r="H61" s="6">
        <f t="shared" si="15"/>
        <v>40</v>
      </c>
      <c r="I61" s="6">
        <f t="shared" si="15"/>
        <v>10</v>
      </c>
      <c r="J61" s="14" t="s">
        <v>70</v>
      </c>
      <c r="M61" s="8"/>
    </row>
    <row r="62" spans="2:22" ht="25.5" x14ac:dyDescent="0.2">
      <c r="B62" s="159"/>
      <c r="C62" s="146"/>
      <c r="D62" s="159"/>
      <c r="E62" s="139"/>
      <c r="F62" s="6">
        <f t="shared" si="15"/>
        <v>8908.5</v>
      </c>
      <c r="G62" s="6">
        <f t="shared" si="15"/>
        <v>2969.5</v>
      </c>
      <c r="H62" s="6">
        <f t="shared" si="15"/>
        <v>2969.5</v>
      </c>
      <c r="I62" s="6">
        <f>I49</f>
        <v>2969.5</v>
      </c>
      <c r="J62" s="14" t="s">
        <v>54</v>
      </c>
      <c r="M62" s="8"/>
    </row>
    <row r="63" spans="2:22" x14ac:dyDescent="0.2">
      <c r="B63" s="156"/>
      <c r="C63" s="143" t="s">
        <v>61</v>
      </c>
      <c r="D63" s="156"/>
      <c r="E63" s="140" t="s">
        <v>10</v>
      </c>
      <c r="F63" s="6">
        <f>F26</f>
        <v>30909.000000000007</v>
      </c>
      <c r="G63" s="6">
        <f t="shared" ref="G63:I63" si="16">G26</f>
        <v>10553.400000000001</v>
      </c>
      <c r="H63" s="6">
        <f t="shared" si="16"/>
        <v>10177.800000000001</v>
      </c>
      <c r="I63" s="6">
        <f t="shared" si="16"/>
        <v>10177.800000000001</v>
      </c>
      <c r="J63" s="14" t="s">
        <v>25</v>
      </c>
      <c r="M63" s="8"/>
    </row>
    <row r="64" spans="2:22" ht="38.25" x14ac:dyDescent="0.2">
      <c r="B64" s="157"/>
      <c r="C64" s="144"/>
      <c r="D64" s="157"/>
      <c r="E64" s="141"/>
      <c r="F64" s="6">
        <f t="shared" ref="F64:I65" si="17">F27</f>
        <v>29553.700000000004</v>
      </c>
      <c r="G64" s="6">
        <f t="shared" si="17"/>
        <v>9198.1</v>
      </c>
      <c r="H64" s="6">
        <f t="shared" si="17"/>
        <v>10177.800000000001</v>
      </c>
      <c r="I64" s="6">
        <f t="shared" si="17"/>
        <v>10177.800000000001</v>
      </c>
      <c r="J64" s="14" t="s">
        <v>70</v>
      </c>
      <c r="M64" s="8"/>
    </row>
    <row r="65" spans="2:13" ht="25.5" x14ac:dyDescent="0.2">
      <c r="B65" s="158"/>
      <c r="C65" s="145"/>
      <c r="D65" s="158"/>
      <c r="E65" s="142"/>
      <c r="F65" s="6">
        <f t="shared" si="17"/>
        <v>1355.3000000000002</v>
      </c>
      <c r="G65" s="6">
        <f t="shared" si="17"/>
        <v>1355.3000000000002</v>
      </c>
      <c r="H65" s="6">
        <f t="shared" si="17"/>
        <v>0</v>
      </c>
      <c r="I65" s="6">
        <f t="shared" si="17"/>
        <v>0</v>
      </c>
      <c r="J65" s="14" t="s">
        <v>54</v>
      </c>
      <c r="M65" s="8"/>
    </row>
    <row r="66" spans="2:13" ht="38.25" x14ac:dyDescent="0.2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18">G30</f>
        <v>8524.2999999999993</v>
      </c>
      <c r="H66" s="6">
        <f t="shared" si="18"/>
        <v>8524.2999999999993</v>
      </c>
      <c r="I66" s="6">
        <f t="shared" si="18"/>
        <v>8524.2999999999993</v>
      </c>
      <c r="J66" s="14" t="s">
        <v>70</v>
      </c>
      <c r="M66" s="8"/>
    </row>
    <row r="67" spans="2:13" ht="25.5" x14ac:dyDescent="0.2">
      <c r="B67" s="13"/>
      <c r="C67" s="12" t="s">
        <v>62</v>
      </c>
      <c r="D67" s="13"/>
      <c r="E67" s="14" t="s">
        <v>10</v>
      </c>
      <c r="F67" s="6">
        <f t="shared" ref="F67:H67" si="19">F39</f>
        <v>50</v>
      </c>
      <c r="G67" s="6">
        <f t="shared" si="19"/>
        <v>50</v>
      </c>
      <c r="H67" s="6">
        <f t="shared" si="19"/>
        <v>0</v>
      </c>
      <c r="I67" s="6">
        <f>I39</f>
        <v>0</v>
      </c>
      <c r="J67" s="14" t="s">
        <v>54</v>
      </c>
      <c r="M67" s="8"/>
    </row>
  </sheetData>
  <mergeCells count="59"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  <mergeCell ref="B50:J50"/>
    <mergeCell ref="F51:J51"/>
    <mergeCell ref="F52:J52"/>
    <mergeCell ref="B53:B55"/>
    <mergeCell ref="C53:C55"/>
    <mergeCell ref="D53:D55"/>
    <mergeCell ref="E53:E55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36:J36"/>
    <mergeCell ref="B40:J40"/>
    <mergeCell ref="B41:J41"/>
    <mergeCell ref="B42:J42"/>
    <mergeCell ref="F43:J43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19:B21"/>
    <mergeCell ref="C19:C21"/>
    <mergeCell ref="D19:D21"/>
    <mergeCell ref="E19:E21"/>
    <mergeCell ref="F25:J25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2"/>
  <sheetViews>
    <sheetView topLeftCell="A56" workbookViewId="0">
      <selection activeCell="N75" sqref="N75"/>
    </sheetView>
  </sheetViews>
  <sheetFormatPr defaultRowHeight="12.75" x14ac:dyDescent="0.2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1" width="9.140625" style="1"/>
    <col min="12" max="12" width="4.5703125" style="1" customWidth="1"/>
    <col min="13" max="16384" width="9.140625" style="1"/>
  </cols>
  <sheetData>
    <row r="1" spans="2:18" s="4" customFormat="1" ht="15" x14ac:dyDescent="0.25">
      <c r="J1" s="9" t="s">
        <v>73</v>
      </c>
    </row>
    <row r="2" spans="2:18" s="4" customFormat="1" ht="15" x14ac:dyDescent="0.25">
      <c r="J2" s="9" t="s">
        <v>68</v>
      </c>
    </row>
    <row r="3" spans="2:18" s="4" customFormat="1" ht="15" x14ac:dyDescent="0.25">
      <c r="J3" s="9" t="s">
        <v>69</v>
      </c>
    </row>
    <row r="4" spans="2:18" s="4" customFormat="1" ht="15.75" x14ac:dyDescent="0.25">
      <c r="J4" s="5"/>
    </row>
    <row r="5" spans="2:18" s="4" customFormat="1" ht="15.75" x14ac:dyDescent="0.25">
      <c r="J5" s="5"/>
    </row>
    <row r="6" spans="2:18" s="4" customFormat="1" ht="16.5" x14ac:dyDescent="0.25">
      <c r="B6" s="138" t="s">
        <v>60</v>
      </c>
      <c r="C6" s="138"/>
      <c r="D6" s="138"/>
      <c r="E6" s="138"/>
      <c r="F6" s="138"/>
      <c r="G6" s="138"/>
      <c r="H6" s="138"/>
      <c r="I6" s="138"/>
      <c r="J6" s="138"/>
    </row>
    <row r="7" spans="2:18" s="4" customFormat="1" x14ac:dyDescent="0.2"/>
    <row r="8" spans="2:18" s="4" customFormat="1" x14ac:dyDescent="0.2">
      <c r="B8" s="139" t="s">
        <v>29</v>
      </c>
      <c r="C8" s="139" t="s">
        <v>0</v>
      </c>
      <c r="D8" s="139" t="s">
        <v>72</v>
      </c>
      <c r="E8" s="139" t="s">
        <v>1</v>
      </c>
      <c r="F8" s="139" t="s">
        <v>30</v>
      </c>
      <c r="G8" s="139"/>
      <c r="H8" s="139"/>
      <c r="I8" s="139"/>
      <c r="J8" s="139" t="s">
        <v>2</v>
      </c>
    </row>
    <row r="9" spans="2:18" s="4" customFormat="1" x14ac:dyDescent="0.2">
      <c r="B9" s="139"/>
      <c r="C9" s="139"/>
      <c r="D9" s="139"/>
      <c r="E9" s="139"/>
      <c r="F9" s="139" t="s">
        <v>3</v>
      </c>
      <c r="G9" s="139" t="s">
        <v>4</v>
      </c>
      <c r="H9" s="139"/>
      <c r="I9" s="139"/>
      <c r="J9" s="139"/>
    </row>
    <row r="10" spans="2:18" s="4" customFormat="1" ht="15.75" customHeight="1" x14ac:dyDescent="0.2">
      <c r="B10" s="139"/>
      <c r="C10" s="139"/>
      <c r="D10" s="139"/>
      <c r="E10" s="139"/>
      <c r="F10" s="139"/>
      <c r="G10" s="14" t="s">
        <v>5</v>
      </c>
      <c r="H10" s="14" t="s">
        <v>6</v>
      </c>
      <c r="I10" s="14" t="s">
        <v>7</v>
      </c>
      <c r="J10" s="139"/>
    </row>
    <row r="11" spans="2:18" s="4" customFormat="1" x14ac:dyDescent="0.2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8" s="4" customFormat="1" ht="21.75" customHeight="1" x14ac:dyDescent="0.2">
      <c r="B12" s="146" t="s">
        <v>63</v>
      </c>
      <c r="C12" s="146"/>
      <c r="D12" s="146"/>
      <c r="E12" s="146"/>
      <c r="F12" s="146"/>
      <c r="G12" s="146"/>
      <c r="H12" s="146"/>
      <c r="I12" s="146"/>
      <c r="J12" s="146"/>
    </row>
    <row r="13" spans="2:18" s="4" customFormat="1" ht="24.75" customHeight="1" x14ac:dyDescent="0.2">
      <c r="B13" s="146" t="s">
        <v>58</v>
      </c>
      <c r="C13" s="146"/>
      <c r="D13" s="146"/>
      <c r="E13" s="146"/>
      <c r="F13" s="146"/>
      <c r="G13" s="146"/>
      <c r="H13" s="146"/>
      <c r="I13" s="146"/>
      <c r="J13" s="146"/>
    </row>
    <row r="14" spans="2:18" s="4" customFormat="1" ht="25.5" customHeight="1" x14ac:dyDescent="0.2">
      <c r="B14" s="147" t="s">
        <v>8</v>
      </c>
      <c r="C14" s="148"/>
      <c r="D14" s="148"/>
      <c r="E14" s="148"/>
      <c r="F14" s="148"/>
      <c r="G14" s="148"/>
      <c r="H14" s="148"/>
      <c r="I14" s="148"/>
      <c r="J14" s="149"/>
    </row>
    <row r="15" spans="2:18" s="4" customFormat="1" ht="12.75" customHeight="1" x14ac:dyDescent="0.2">
      <c r="B15" s="150" t="s">
        <v>31</v>
      </c>
      <c r="C15" s="143" t="s">
        <v>9</v>
      </c>
      <c r="D15" s="140" t="s">
        <v>43</v>
      </c>
      <c r="E15" s="140" t="s">
        <v>10</v>
      </c>
      <c r="F15" s="6">
        <f>F16+F17</f>
        <v>25251.299999999996</v>
      </c>
      <c r="G15" s="16">
        <f>G16+G17</f>
        <v>9430.1</v>
      </c>
      <c r="H15" s="6">
        <f t="shared" ref="H15" si="0">H16+H17</f>
        <v>7910.6</v>
      </c>
      <c r="I15" s="6">
        <f>I16+I17</f>
        <v>7910.6</v>
      </c>
      <c r="J15" s="14" t="s">
        <v>25</v>
      </c>
      <c r="L15" s="150" t="s">
        <v>31</v>
      </c>
      <c r="M15" s="6">
        <f>M16+M17</f>
        <v>23731.8</v>
      </c>
      <c r="N15" s="17">
        <f>N16+N17</f>
        <v>7910.6</v>
      </c>
      <c r="O15" s="6">
        <f t="shared" ref="O15" si="1">O16+O17</f>
        <v>7910.6</v>
      </c>
      <c r="P15" s="6">
        <f>P16+P17</f>
        <v>7910.6</v>
      </c>
      <c r="Q15" s="8">
        <f t="shared" ref="Q15:Q24" si="2">F15-M15</f>
        <v>1519.4999999999964</v>
      </c>
      <c r="R15" s="8">
        <f t="shared" ref="R15:R24" si="3">G15-N15</f>
        <v>1519.5</v>
      </c>
    </row>
    <row r="16" spans="2:18" s="4" customFormat="1" ht="38.25" x14ac:dyDescent="0.2">
      <c r="B16" s="151"/>
      <c r="C16" s="144"/>
      <c r="D16" s="141"/>
      <c r="E16" s="141"/>
      <c r="F16" s="6">
        <f>G16+H16+I16</f>
        <v>24528.699999999997</v>
      </c>
      <c r="G16" s="16">
        <v>8707.5</v>
      </c>
      <c r="H16" s="6">
        <v>7910.6</v>
      </c>
      <c r="I16" s="6">
        <v>7910.6</v>
      </c>
      <c r="J16" s="14" t="s">
        <v>70</v>
      </c>
      <c r="L16" s="151"/>
      <c r="M16" s="6">
        <f>N16+O16+P16</f>
        <v>23002.7</v>
      </c>
      <c r="N16" s="17">
        <f>7910.6-729.1</f>
        <v>7181.5</v>
      </c>
      <c r="O16" s="6">
        <v>7910.6</v>
      </c>
      <c r="P16" s="6">
        <v>7910.6</v>
      </c>
      <c r="Q16" s="8">
        <f t="shared" si="2"/>
        <v>1525.9999999999964</v>
      </c>
      <c r="R16" s="8">
        <f t="shared" si="3"/>
        <v>1526</v>
      </c>
    </row>
    <row r="17" spans="2:18" s="4" customFormat="1" ht="25.5" x14ac:dyDescent="0.2">
      <c r="B17" s="152"/>
      <c r="C17" s="145"/>
      <c r="D17" s="142"/>
      <c r="E17" s="142"/>
      <c r="F17" s="6">
        <f>G17+H17+I17</f>
        <v>722.6</v>
      </c>
      <c r="G17" s="16">
        <v>722.6</v>
      </c>
      <c r="H17" s="6">
        <v>0</v>
      </c>
      <c r="I17" s="6">
        <v>0</v>
      </c>
      <c r="J17" s="14" t="s">
        <v>42</v>
      </c>
      <c r="L17" s="152"/>
      <c r="M17" s="6">
        <f>N17+O17+P17</f>
        <v>729.1</v>
      </c>
      <c r="N17" s="17">
        <v>729.1</v>
      </c>
      <c r="O17" s="6">
        <v>0</v>
      </c>
      <c r="P17" s="6">
        <v>0</v>
      </c>
      <c r="Q17" s="8">
        <f t="shared" si="2"/>
        <v>-6.5</v>
      </c>
      <c r="R17" s="8">
        <f t="shared" si="3"/>
        <v>-6.5</v>
      </c>
    </row>
    <row r="18" spans="2:18" s="4" customFormat="1" ht="42.95" customHeight="1" x14ac:dyDescent="0.2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4">G18+H18+I18</f>
        <v>819.00000000000011</v>
      </c>
      <c r="G18" s="16">
        <v>305.8</v>
      </c>
      <c r="H18" s="6">
        <v>256.60000000000002</v>
      </c>
      <c r="I18" s="6">
        <v>256.60000000000002</v>
      </c>
      <c r="J18" s="14" t="s">
        <v>70</v>
      </c>
      <c r="L18" s="7" t="s">
        <v>32</v>
      </c>
      <c r="M18" s="6">
        <f t="shared" ref="M18" si="5">N18+O18+P18</f>
        <v>769.80000000000007</v>
      </c>
      <c r="N18" s="17">
        <v>256.60000000000002</v>
      </c>
      <c r="O18" s="6">
        <v>256.60000000000002</v>
      </c>
      <c r="P18" s="6">
        <v>256.60000000000002</v>
      </c>
      <c r="Q18" s="8">
        <f t="shared" si="2"/>
        <v>49.200000000000045</v>
      </c>
      <c r="R18" s="8">
        <f t="shared" si="3"/>
        <v>49.199999999999989</v>
      </c>
    </row>
    <row r="19" spans="2:18" s="4" customFormat="1" ht="12.75" customHeight="1" x14ac:dyDescent="0.2">
      <c r="B19" s="150" t="s">
        <v>33</v>
      </c>
      <c r="C19" s="143" t="s">
        <v>12</v>
      </c>
      <c r="D19" s="140" t="s">
        <v>43</v>
      </c>
      <c r="E19" s="140" t="s">
        <v>10</v>
      </c>
      <c r="F19" s="6">
        <f>G19+H19+I19</f>
        <v>2098.8000000000002</v>
      </c>
      <c r="G19" s="16">
        <f>G20+G21</f>
        <v>699.6</v>
      </c>
      <c r="H19" s="6">
        <f>H20+H21</f>
        <v>699.6</v>
      </c>
      <c r="I19" s="6">
        <f>I20+I21</f>
        <v>699.6</v>
      </c>
      <c r="J19" s="14" t="s">
        <v>25</v>
      </c>
      <c r="L19" s="150" t="s">
        <v>33</v>
      </c>
      <c r="M19" s="6">
        <f>N19+O19+P19</f>
        <v>2191.1999999999998</v>
      </c>
      <c r="N19" s="17">
        <f>N20+N21</f>
        <v>792</v>
      </c>
      <c r="O19" s="6">
        <f>O20+O21</f>
        <v>699.6</v>
      </c>
      <c r="P19" s="6">
        <f>P20+P21</f>
        <v>699.6</v>
      </c>
      <c r="Q19" s="8">
        <f t="shared" si="2"/>
        <v>-92.399999999999636</v>
      </c>
      <c r="R19" s="8">
        <f t="shared" si="3"/>
        <v>-92.399999999999977</v>
      </c>
    </row>
    <row r="20" spans="2:18" s="4" customFormat="1" ht="38.25" x14ac:dyDescent="0.2">
      <c r="B20" s="151"/>
      <c r="C20" s="144"/>
      <c r="D20" s="141"/>
      <c r="E20" s="141"/>
      <c r="F20" s="6">
        <f>G20+H20+I20</f>
        <v>1466.1</v>
      </c>
      <c r="G20" s="16">
        <v>66.900000000000006</v>
      </c>
      <c r="H20" s="6">
        <v>699.6</v>
      </c>
      <c r="I20" s="6">
        <v>699.6</v>
      </c>
      <c r="J20" s="14" t="s">
        <v>70</v>
      </c>
      <c r="K20" s="8"/>
      <c r="L20" s="151"/>
      <c r="M20" s="6">
        <f>N20+O20+P20</f>
        <v>1565</v>
      </c>
      <c r="N20" s="17">
        <f>699.6-N21+92.4</f>
        <v>165.79999999999998</v>
      </c>
      <c r="O20" s="6">
        <v>699.6</v>
      </c>
      <c r="P20" s="6">
        <v>699.6</v>
      </c>
      <c r="Q20" s="8">
        <f t="shared" si="2"/>
        <v>-98.900000000000091</v>
      </c>
      <c r="R20" s="8">
        <f t="shared" si="3"/>
        <v>-98.899999999999977</v>
      </c>
    </row>
    <row r="21" spans="2:18" s="4" customFormat="1" ht="63.75" x14ac:dyDescent="0.2">
      <c r="B21" s="152"/>
      <c r="C21" s="145"/>
      <c r="D21" s="142"/>
      <c r="E21" s="142"/>
      <c r="F21" s="6">
        <f>G21+H21+I21</f>
        <v>632.70000000000005</v>
      </c>
      <c r="G21" s="16">
        <v>632.70000000000005</v>
      </c>
      <c r="H21" s="6">
        <v>0</v>
      </c>
      <c r="I21" s="6">
        <v>0</v>
      </c>
      <c r="J21" s="14" t="s">
        <v>78</v>
      </c>
      <c r="L21" s="152"/>
      <c r="M21" s="6">
        <f>N21+O21+P21</f>
        <v>626.20000000000005</v>
      </c>
      <c r="N21" s="17">
        <v>626.20000000000005</v>
      </c>
      <c r="O21" s="6">
        <v>0</v>
      </c>
      <c r="P21" s="6">
        <v>0</v>
      </c>
      <c r="Q21" s="8">
        <f t="shared" si="2"/>
        <v>6.5</v>
      </c>
      <c r="R21" s="8">
        <f t="shared" si="3"/>
        <v>6.5</v>
      </c>
    </row>
    <row r="22" spans="2:18" s="4" customFormat="1" ht="42.95" customHeight="1" x14ac:dyDescent="0.2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4"/>
        <v>948.9</v>
      </c>
      <c r="G22" s="6">
        <v>505.1</v>
      </c>
      <c r="H22" s="6">
        <v>221.9</v>
      </c>
      <c r="I22" s="6">
        <v>221.9</v>
      </c>
      <c r="J22" s="14" t="s">
        <v>70</v>
      </c>
      <c r="L22" s="7" t="s">
        <v>34</v>
      </c>
      <c r="M22" s="6">
        <f t="shared" ref="M22:M24" si="6">N22+O22+P22</f>
        <v>948.9</v>
      </c>
      <c r="N22" s="6">
        <v>505.1</v>
      </c>
      <c r="O22" s="6">
        <v>221.9</v>
      </c>
      <c r="P22" s="6">
        <v>221.9</v>
      </c>
      <c r="Q22" s="8">
        <f t="shared" si="2"/>
        <v>0</v>
      </c>
      <c r="R22" s="8">
        <f t="shared" si="3"/>
        <v>0</v>
      </c>
    </row>
    <row r="23" spans="2:18" s="4" customFormat="1" ht="42.95" customHeight="1" x14ac:dyDescent="0.2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4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L23" s="7" t="s">
        <v>35</v>
      </c>
      <c r="M23" s="6">
        <f t="shared" si="6"/>
        <v>3162.2999999999997</v>
      </c>
      <c r="N23" s="6">
        <v>1054.0999999999999</v>
      </c>
      <c r="O23" s="6">
        <v>1054.0999999999999</v>
      </c>
      <c r="P23" s="6">
        <v>1054.0999999999999</v>
      </c>
      <c r="Q23" s="8">
        <f t="shared" si="2"/>
        <v>0</v>
      </c>
      <c r="R23" s="8">
        <f t="shared" si="3"/>
        <v>0</v>
      </c>
    </row>
    <row r="24" spans="2:18" s="4" customFormat="1" ht="42.95" customHeight="1" x14ac:dyDescent="0.2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4"/>
        <v>105</v>
      </c>
      <c r="G24" s="6">
        <v>35</v>
      </c>
      <c r="H24" s="6">
        <v>35</v>
      </c>
      <c r="I24" s="6">
        <v>35</v>
      </c>
      <c r="J24" s="14" t="s">
        <v>70</v>
      </c>
      <c r="L24" s="7" t="s">
        <v>36</v>
      </c>
      <c r="M24" s="6">
        <f t="shared" si="6"/>
        <v>105</v>
      </c>
      <c r="N24" s="6">
        <v>35</v>
      </c>
      <c r="O24" s="6">
        <v>35</v>
      </c>
      <c r="P24" s="6">
        <v>35</v>
      </c>
      <c r="Q24" s="8">
        <f t="shared" si="2"/>
        <v>0</v>
      </c>
      <c r="R24" s="8">
        <f t="shared" si="3"/>
        <v>0</v>
      </c>
    </row>
    <row r="25" spans="2:18" s="4" customFormat="1" ht="42.95" customHeight="1" x14ac:dyDescent="0.2">
      <c r="B25" s="7" t="s">
        <v>37</v>
      </c>
      <c r="C25" s="12" t="s">
        <v>15</v>
      </c>
      <c r="D25" s="14" t="s">
        <v>43</v>
      </c>
      <c r="E25" s="14" t="s">
        <v>10</v>
      </c>
      <c r="F25" s="139" t="s">
        <v>16</v>
      </c>
      <c r="G25" s="139"/>
      <c r="H25" s="139"/>
      <c r="I25" s="139"/>
      <c r="J25" s="139"/>
      <c r="L25" s="7" t="s">
        <v>37</v>
      </c>
      <c r="M25" s="139" t="s">
        <v>16</v>
      </c>
      <c r="N25" s="139"/>
      <c r="O25" s="139"/>
      <c r="P25" s="139"/>
      <c r="Q25" s="8"/>
      <c r="R25" s="8"/>
    </row>
    <row r="26" spans="2:18" s="4" customFormat="1" ht="18.75" customHeight="1" x14ac:dyDescent="0.2">
      <c r="B26" s="140"/>
      <c r="C26" s="143" t="s">
        <v>17</v>
      </c>
      <c r="D26" s="140" t="s">
        <v>43</v>
      </c>
      <c r="E26" s="140" t="s">
        <v>10</v>
      </c>
      <c r="F26" s="6">
        <f>G26+H26+I26</f>
        <v>32385.300000000003</v>
      </c>
      <c r="G26" s="6">
        <f>G27+G28</f>
        <v>12029.7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40"/>
      <c r="M26" s="6">
        <f>N26+O26+P26</f>
        <v>30909.000000000007</v>
      </c>
      <c r="N26" s="6">
        <f>N27+N28</f>
        <v>10553.400000000001</v>
      </c>
      <c r="O26" s="6">
        <f>O27+O28</f>
        <v>10177.800000000001</v>
      </c>
      <c r="P26" s="6">
        <f>P27+P28</f>
        <v>10177.800000000001</v>
      </c>
      <c r="Q26" s="8">
        <f t="shared" ref="Q26:R28" si="7">F26-M26</f>
        <v>1476.2999999999956</v>
      </c>
      <c r="R26" s="8">
        <f t="shared" si="7"/>
        <v>1476.2999999999993</v>
      </c>
    </row>
    <row r="27" spans="2:18" s="4" customFormat="1" ht="42" customHeight="1" x14ac:dyDescent="0.2">
      <c r="B27" s="141"/>
      <c r="C27" s="144"/>
      <c r="D27" s="141"/>
      <c r="E27" s="141"/>
      <c r="F27" s="6">
        <f>G27+H27+I27</f>
        <v>31030</v>
      </c>
      <c r="G27" s="6">
        <f>G16+G18+G20+G22+G23+G24</f>
        <v>10674.4</v>
      </c>
      <c r="H27" s="6">
        <f t="shared" ref="H27" si="8">H16+H18+H20+H22+H23+H24</f>
        <v>10177.800000000001</v>
      </c>
      <c r="I27" s="6">
        <f>I16+I18+I20+I22+I23+I24</f>
        <v>10177.800000000001</v>
      </c>
      <c r="J27" s="14" t="s">
        <v>70</v>
      </c>
      <c r="L27" s="141"/>
      <c r="M27" s="6">
        <f>N27+O27+P27</f>
        <v>29553.700000000004</v>
      </c>
      <c r="N27" s="6">
        <f>N16+N18+N20+N22+N23+N24</f>
        <v>9198.1</v>
      </c>
      <c r="O27" s="6">
        <f t="shared" ref="O27" si="9">O16+O18+O20+O22+O23+O24</f>
        <v>10177.800000000001</v>
      </c>
      <c r="P27" s="6">
        <f>P16+P18+P20+P22+P23+P24</f>
        <v>10177.800000000001</v>
      </c>
      <c r="Q27" s="8">
        <f t="shared" si="7"/>
        <v>1476.2999999999956</v>
      </c>
      <c r="R27" s="8">
        <f t="shared" si="7"/>
        <v>1476.2999999999993</v>
      </c>
    </row>
    <row r="28" spans="2:18" s="4" customFormat="1" ht="25.5" x14ac:dyDescent="0.2">
      <c r="B28" s="142"/>
      <c r="C28" s="145"/>
      <c r="D28" s="142"/>
      <c r="E28" s="142"/>
      <c r="F28" s="6">
        <f>G28+H28+I28</f>
        <v>1355.3000000000002</v>
      </c>
      <c r="G28" s="6">
        <f>G17+G21</f>
        <v>1355.3000000000002</v>
      </c>
      <c r="H28" s="6">
        <f t="shared" ref="H28:I28" si="10">H17+H21</f>
        <v>0</v>
      </c>
      <c r="I28" s="6">
        <f t="shared" si="10"/>
        <v>0</v>
      </c>
      <c r="J28" s="14" t="s">
        <v>42</v>
      </c>
      <c r="L28" s="142"/>
      <c r="M28" s="6">
        <f>N28+O28+P28</f>
        <v>1355.3000000000002</v>
      </c>
      <c r="N28" s="6">
        <f>N17+N21</f>
        <v>1355.3000000000002</v>
      </c>
      <c r="O28" s="6">
        <f t="shared" ref="O28:P28" si="11">O17+O21</f>
        <v>0</v>
      </c>
      <c r="P28" s="6">
        <f t="shared" si="11"/>
        <v>0</v>
      </c>
      <c r="Q28" s="8">
        <f t="shared" si="7"/>
        <v>0</v>
      </c>
      <c r="R28" s="8">
        <f t="shared" si="7"/>
        <v>0</v>
      </c>
    </row>
    <row r="29" spans="2:18" ht="26.25" customHeight="1" x14ac:dyDescent="0.2">
      <c r="B29" s="146" t="s">
        <v>18</v>
      </c>
      <c r="C29" s="146"/>
      <c r="D29" s="146"/>
      <c r="E29" s="146"/>
      <c r="F29" s="146"/>
      <c r="G29" s="146"/>
      <c r="H29" s="146"/>
      <c r="I29" s="146"/>
      <c r="J29" s="146"/>
      <c r="L29" s="146" t="s">
        <v>18</v>
      </c>
      <c r="M29" s="146"/>
      <c r="N29" s="146"/>
      <c r="O29" s="146"/>
      <c r="P29" s="146"/>
      <c r="Q29" s="8"/>
      <c r="R29" s="8"/>
    </row>
    <row r="30" spans="2:18" ht="49.5" customHeight="1" x14ac:dyDescent="0.2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L30" s="7" t="s">
        <v>38</v>
      </c>
      <c r="M30" s="6">
        <f>N30+O30+P30</f>
        <v>25572.899999999998</v>
      </c>
      <c r="N30" s="6">
        <v>8524.2999999999993</v>
      </c>
      <c r="O30" s="6">
        <v>8524.2999999999993</v>
      </c>
      <c r="P30" s="6">
        <v>8524.2999999999993</v>
      </c>
      <c r="Q30" s="8">
        <f t="shared" ref="Q30:R34" si="12">F30-M30</f>
        <v>0</v>
      </c>
      <c r="R30" s="8">
        <f t="shared" si="12"/>
        <v>0</v>
      </c>
    </row>
    <row r="31" spans="2:18" ht="49.5" customHeight="1" x14ac:dyDescent="0.2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13">H30</f>
        <v>8524.2999999999993</v>
      </c>
      <c r="I31" s="6">
        <f t="shared" si="13"/>
        <v>8524.2999999999993</v>
      </c>
      <c r="J31" s="14" t="s">
        <v>70</v>
      </c>
      <c r="L31" s="14"/>
      <c r="M31" s="6">
        <f>N31+O31+P31</f>
        <v>25572.899999999998</v>
      </c>
      <c r="N31" s="6">
        <f>N30</f>
        <v>8524.2999999999993</v>
      </c>
      <c r="O31" s="6">
        <f t="shared" ref="O31:P31" si="14">O30</f>
        <v>8524.2999999999993</v>
      </c>
      <c r="P31" s="6">
        <f t="shared" si="14"/>
        <v>8524.2999999999993</v>
      </c>
      <c r="Q31" s="8">
        <f t="shared" si="12"/>
        <v>0</v>
      </c>
      <c r="R31" s="8">
        <f t="shared" si="12"/>
        <v>0</v>
      </c>
    </row>
    <row r="32" spans="2:18" ht="12.75" customHeight="1" x14ac:dyDescent="0.2">
      <c r="B32" s="153"/>
      <c r="C32" s="143" t="s">
        <v>21</v>
      </c>
      <c r="D32" s="156"/>
      <c r="E32" s="140" t="s">
        <v>10</v>
      </c>
      <c r="F32" s="6">
        <f>G32+H32+I32</f>
        <v>57958.19999999999</v>
      </c>
      <c r="G32" s="6">
        <f>G33+G34</f>
        <v>20553.999999999996</v>
      </c>
      <c r="H32" s="6">
        <f t="shared" ref="H32" si="15">H33+H34</f>
        <v>18702.099999999999</v>
      </c>
      <c r="I32" s="6">
        <f>I33+I34</f>
        <v>18702.099999999999</v>
      </c>
      <c r="J32" s="14" t="s">
        <v>25</v>
      </c>
      <c r="L32" s="153"/>
      <c r="M32" s="6">
        <f>N32+O32+P32</f>
        <v>56481.9</v>
      </c>
      <c r="N32" s="6">
        <f>N33+N34</f>
        <v>19077.7</v>
      </c>
      <c r="O32" s="6">
        <f t="shared" ref="O32" si="16">O33+O34</f>
        <v>18702.099999999999</v>
      </c>
      <c r="P32" s="6">
        <f>P33+P34</f>
        <v>18702.099999999999</v>
      </c>
      <c r="Q32" s="8">
        <f t="shared" si="12"/>
        <v>1476.2999999999884</v>
      </c>
      <c r="R32" s="8">
        <f t="shared" si="12"/>
        <v>1476.2999999999956</v>
      </c>
    </row>
    <row r="33" spans="2:18" ht="38.25" customHeight="1" x14ac:dyDescent="0.2">
      <c r="B33" s="154"/>
      <c r="C33" s="144"/>
      <c r="D33" s="157"/>
      <c r="E33" s="141"/>
      <c r="F33" s="6">
        <f>G33+H33+I33</f>
        <v>56602.899999999994</v>
      </c>
      <c r="G33" s="6">
        <f>G31+G27</f>
        <v>19198.699999999997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154"/>
      <c r="M33" s="6">
        <f>N33+O33+P33</f>
        <v>55126.6</v>
      </c>
      <c r="N33" s="6">
        <f>N31+N27</f>
        <v>17722.400000000001</v>
      </c>
      <c r="O33" s="6">
        <f>O31+O27</f>
        <v>18702.099999999999</v>
      </c>
      <c r="P33" s="6">
        <f>P31+P27</f>
        <v>18702.099999999999</v>
      </c>
      <c r="Q33" s="8">
        <f t="shared" si="12"/>
        <v>1476.2999999999956</v>
      </c>
      <c r="R33" s="8">
        <f t="shared" si="12"/>
        <v>1476.2999999999956</v>
      </c>
    </row>
    <row r="34" spans="2:18" ht="26.25" customHeight="1" x14ac:dyDescent="0.2">
      <c r="B34" s="155"/>
      <c r="C34" s="145"/>
      <c r="D34" s="158"/>
      <c r="E34" s="142"/>
      <c r="F34" s="6">
        <f>G34+H34+I34</f>
        <v>1355.3000000000002</v>
      </c>
      <c r="G34" s="6">
        <f>G28</f>
        <v>1355.3000000000002</v>
      </c>
      <c r="H34" s="6">
        <f t="shared" ref="H34" si="17">H28</f>
        <v>0</v>
      </c>
      <c r="I34" s="6">
        <f>I28</f>
        <v>0</v>
      </c>
      <c r="J34" s="14" t="s">
        <v>42</v>
      </c>
      <c r="L34" s="155"/>
      <c r="M34" s="6">
        <f>N34+O34+P34</f>
        <v>1355.3000000000002</v>
      </c>
      <c r="N34" s="6">
        <f>N28</f>
        <v>1355.3000000000002</v>
      </c>
      <c r="O34" s="6">
        <f t="shared" ref="O34" si="18">O28</f>
        <v>0</v>
      </c>
      <c r="P34" s="6">
        <f>P28</f>
        <v>0</v>
      </c>
      <c r="Q34" s="8">
        <f t="shared" si="12"/>
        <v>0</v>
      </c>
      <c r="R34" s="8">
        <f t="shared" si="12"/>
        <v>0</v>
      </c>
    </row>
    <row r="35" spans="2:18" ht="24.75" customHeight="1" x14ac:dyDescent="0.2">
      <c r="B35" s="147" t="s">
        <v>59</v>
      </c>
      <c r="C35" s="148"/>
      <c r="D35" s="148"/>
      <c r="E35" s="148"/>
      <c r="F35" s="148"/>
      <c r="G35" s="148"/>
      <c r="H35" s="148"/>
      <c r="I35" s="148"/>
      <c r="J35" s="149"/>
      <c r="L35" s="147" t="s">
        <v>59</v>
      </c>
      <c r="M35" s="148"/>
      <c r="N35" s="148"/>
      <c r="O35" s="148"/>
      <c r="P35" s="148"/>
      <c r="Q35" s="8"/>
      <c r="R35" s="8"/>
    </row>
    <row r="36" spans="2:18" ht="27" customHeight="1" x14ac:dyDescent="0.2">
      <c r="B36" s="147" t="s">
        <v>56</v>
      </c>
      <c r="C36" s="148"/>
      <c r="D36" s="148"/>
      <c r="E36" s="148"/>
      <c r="F36" s="148"/>
      <c r="G36" s="148"/>
      <c r="H36" s="148"/>
      <c r="I36" s="148"/>
      <c r="J36" s="149"/>
      <c r="L36" s="147" t="s">
        <v>56</v>
      </c>
      <c r="M36" s="148"/>
      <c r="N36" s="148"/>
      <c r="O36" s="148"/>
      <c r="P36" s="148"/>
      <c r="Q36" s="8"/>
      <c r="R36" s="8"/>
    </row>
    <row r="37" spans="2:18" ht="25.5" customHeight="1" x14ac:dyDescent="0.2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L37" s="14" t="s">
        <v>39</v>
      </c>
      <c r="M37" s="6">
        <f>N37+O37+P37</f>
        <v>50</v>
      </c>
      <c r="N37" s="6">
        <v>50</v>
      </c>
      <c r="O37" s="6">
        <v>0</v>
      </c>
      <c r="P37" s="6">
        <v>0</v>
      </c>
      <c r="Q37" s="8">
        <f t="shared" ref="Q37:R39" si="19">F37-M37</f>
        <v>0</v>
      </c>
      <c r="R37" s="8">
        <f t="shared" si="19"/>
        <v>0</v>
      </c>
    </row>
    <row r="38" spans="2:18" ht="26.25" customHeight="1" x14ac:dyDescent="0.2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20">H37</f>
        <v>0</v>
      </c>
      <c r="I38" s="6">
        <f t="shared" si="20"/>
        <v>0</v>
      </c>
      <c r="J38" s="14" t="s">
        <v>42</v>
      </c>
      <c r="L38" s="13"/>
      <c r="M38" s="6">
        <f>M37</f>
        <v>50</v>
      </c>
      <c r="N38" s="6">
        <f>N37</f>
        <v>50</v>
      </c>
      <c r="O38" s="6">
        <f t="shared" ref="O38:P39" si="21">O37</f>
        <v>0</v>
      </c>
      <c r="P38" s="6">
        <f t="shared" si="21"/>
        <v>0</v>
      </c>
      <c r="Q38" s="8">
        <f t="shared" si="19"/>
        <v>0</v>
      </c>
      <c r="R38" s="8">
        <f t="shared" si="19"/>
        <v>0</v>
      </c>
    </row>
    <row r="39" spans="2:18" ht="27" customHeight="1" x14ac:dyDescent="0.2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20"/>
        <v>0</v>
      </c>
      <c r="I39" s="6">
        <f t="shared" si="20"/>
        <v>0</v>
      </c>
      <c r="J39" s="14" t="s">
        <v>42</v>
      </c>
      <c r="L39" s="13"/>
      <c r="M39" s="6">
        <f>M38</f>
        <v>50</v>
      </c>
      <c r="N39" s="6">
        <f>N38</f>
        <v>50</v>
      </c>
      <c r="O39" s="6">
        <f t="shared" si="21"/>
        <v>0</v>
      </c>
      <c r="P39" s="6">
        <f t="shared" si="21"/>
        <v>0</v>
      </c>
      <c r="Q39" s="8">
        <f t="shared" si="19"/>
        <v>0</v>
      </c>
      <c r="R39" s="8">
        <f t="shared" si="19"/>
        <v>0</v>
      </c>
    </row>
    <row r="40" spans="2:18" ht="27" customHeight="1" x14ac:dyDescent="0.2">
      <c r="B40" s="147" t="s">
        <v>64</v>
      </c>
      <c r="C40" s="148"/>
      <c r="D40" s="148"/>
      <c r="E40" s="148"/>
      <c r="F40" s="148"/>
      <c r="G40" s="148"/>
      <c r="H40" s="148"/>
      <c r="I40" s="148"/>
      <c r="J40" s="149"/>
      <c r="L40" s="147" t="s">
        <v>64</v>
      </c>
      <c r="M40" s="148"/>
      <c r="N40" s="148"/>
      <c r="O40" s="148"/>
      <c r="P40" s="148"/>
      <c r="Q40" s="8"/>
      <c r="R40" s="8"/>
    </row>
    <row r="41" spans="2:18" ht="26.25" customHeight="1" x14ac:dyDescent="0.2">
      <c r="B41" s="147" t="s">
        <v>44</v>
      </c>
      <c r="C41" s="148"/>
      <c r="D41" s="148"/>
      <c r="E41" s="148"/>
      <c r="F41" s="148"/>
      <c r="G41" s="148"/>
      <c r="H41" s="148"/>
      <c r="I41" s="148"/>
      <c r="J41" s="149"/>
      <c r="L41" s="147" t="s">
        <v>44</v>
      </c>
      <c r="M41" s="148"/>
      <c r="N41" s="148"/>
      <c r="O41" s="148"/>
      <c r="P41" s="148"/>
      <c r="Q41" s="8"/>
      <c r="R41" s="8"/>
    </row>
    <row r="42" spans="2:18" ht="27.75" customHeight="1" x14ac:dyDescent="0.2">
      <c r="B42" s="146" t="s">
        <v>45</v>
      </c>
      <c r="C42" s="146"/>
      <c r="D42" s="146"/>
      <c r="E42" s="146"/>
      <c r="F42" s="146"/>
      <c r="G42" s="146"/>
      <c r="H42" s="146"/>
      <c r="I42" s="146"/>
      <c r="J42" s="146"/>
      <c r="L42" s="146" t="s">
        <v>45</v>
      </c>
      <c r="M42" s="146"/>
      <c r="N42" s="146"/>
      <c r="O42" s="146"/>
      <c r="P42" s="146"/>
      <c r="Q42" s="8"/>
      <c r="R42" s="8"/>
    </row>
    <row r="43" spans="2:18" ht="38.25" x14ac:dyDescent="0.2">
      <c r="B43" s="7" t="s">
        <v>40</v>
      </c>
      <c r="C43" s="12" t="s">
        <v>75</v>
      </c>
      <c r="D43" s="14" t="s">
        <v>22</v>
      </c>
      <c r="E43" s="14" t="s">
        <v>10</v>
      </c>
      <c r="F43" s="139" t="s">
        <v>16</v>
      </c>
      <c r="G43" s="139"/>
      <c r="H43" s="139"/>
      <c r="I43" s="139"/>
      <c r="J43" s="139"/>
      <c r="L43" s="7" t="s">
        <v>40</v>
      </c>
      <c r="M43" s="139" t="s">
        <v>16</v>
      </c>
      <c r="N43" s="139"/>
      <c r="O43" s="139"/>
      <c r="P43" s="139"/>
      <c r="Q43" s="8"/>
      <c r="R43" s="8"/>
    </row>
    <row r="44" spans="2:18" ht="38.25" x14ac:dyDescent="0.2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L44" s="7" t="s">
        <v>41</v>
      </c>
      <c r="M44" s="6">
        <f>N44+O44+P44</f>
        <v>20</v>
      </c>
      <c r="N44" s="6">
        <v>10</v>
      </c>
      <c r="O44" s="6">
        <v>0</v>
      </c>
      <c r="P44" s="6">
        <v>10</v>
      </c>
      <c r="Q44" s="8">
        <f t="shared" ref="Q44:R49" si="22">F44-M44</f>
        <v>0</v>
      </c>
      <c r="R44" s="8">
        <f t="shared" si="22"/>
        <v>0</v>
      </c>
    </row>
    <row r="45" spans="2:18" ht="38.25" x14ac:dyDescent="0.2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23">G45+H45+I45</f>
        <v>40</v>
      </c>
      <c r="G45" s="6">
        <v>0</v>
      </c>
      <c r="H45" s="6">
        <v>40</v>
      </c>
      <c r="I45" s="6">
        <v>0</v>
      </c>
      <c r="J45" s="14" t="s">
        <v>71</v>
      </c>
      <c r="L45" s="7" t="s">
        <v>46</v>
      </c>
      <c r="M45" s="6">
        <f t="shared" ref="M45:M46" si="24">N45+O45+P45</f>
        <v>40</v>
      </c>
      <c r="N45" s="6">
        <v>0</v>
      </c>
      <c r="O45" s="6">
        <v>40</v>
      </c>
      <c r="P45" s="6">
        <v>0</v>
      </c>
      <c r="Q45" s="8">
        <f t="shared" si="22"/>
        <v>0</v>
      </c>
      <c r="R45" s="8">
        <f t="shared" si="22"/>
        <v>0</v>
      </c>
    </row>
    <row r="46" spans="2:18" ht="51" x14ac:dyDescent="0.2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23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L46" s="7" t="s">
        <v>47</v>
      </c>
      <c r="M46" s="6">
        <f t="shared" si="24"/>
        <v>8908.5</v>
      </c>
      <c r="N46" s="6">
        <v>2969.5</v>
      </c>
      <c r="O46" s="6">
        <v>2969.5</v>
      </c>
      <c r="P46" s="6">
        <v>2969.5</v>
      </c>
      <c r="Q46" s="8">
        <f t="shared" si="22"/>
        <v>0</v>
      </c>
      <c r="R46" s="8">
        <f t="shared" si="22"/>
        <v>0</v>
      </c>
    </row>
    <row r="47" spans="2:18" ht="12.75" customHeight="1" x14ac:dyDescent="0.2">
      <c r="B47" s="139"/>
      <c r="C47" s="143" t="s">
        <v>48</v>
      </c>
      <c r="D47" s="139" t="s">
        <v>22</v>
      </c>
      <c r="E47" s="139" t="s">
        <v>10</v>
      </c>
      <c r="F47" s="6">
        <f>F46+F45+F44</f>
        <v>8968.5</v>
      </c>
      <c r="G47" s="6">
        <f t="shared" ref="G47:I47" si="25">G46+G45+G44</f>
        <v>2979.5</v>
      </c>
      <c r="H47" s="6">
        <f t="shared" si="25"/>
        <v>3009.5</v>
      </c>
      <c r="I47" s="6">
        <f t="shared" si="25"/>
        <v>2979.5</v>
      </c>
      <c r="J47" s="14" t="s">
        <v>25</v>
      </c>
      <c r="L47" s="139"/>
      <c r="M47" s="6">
        <f>M46+M45+M44</f>
        <v>8968.5</v>
      </c>
      <c r="N47" s="6">
        <f t="shared" ref="N47:P47" si="26">N46+N45+N44</f>
        <v>2979.5</v>
      </c>
      <c r="O47" s="6">
        <f t="shared" si="26"/>
        <v>3009.5</v>
      </c>
      <c r="P47" s="6">
        <f t="shared" si="26"/>
        <v>2979.5</v>
      </c>
      <c r="Q47" s="8">
        <f t="shared" si="22"/>
        <v>0</v>
      </c>
      <c r="R47" s="8">
        <f t="shared" si="22"/>
        <v>0</v>
      </c>
    </row>
    <row r="48" spans="2:18" ht="38.25" x14ac:dyDescent="0.2">
      <c r="B48" s="139"/>
      <c r="C48" s="144"/>
      <c r="D48" s="139"/>
      <c r="E48" s="139"/>
      <c r="F48" s="6">
        <f>F44+F45</f>
        <v>60</v>
      </c>
      <c r="G48" s="6">
        <f t="shared" ref="G48:I48" si="27">G44+G45</f>
        <v>10</v>
      </c>
      <c r="H48" s="6">
        <f t="shared" si="27"/>
        <v>40</v>
      </c>
      <c r="I48" s="6">
        <f t="shared" si="27"/>
        <v>10</v>
      </c>
      <c r="J48" s="14" t="s">
        <v>70</v>
      </c>
      <c r="L48" s="139"/>
      <c r="M48" s="6">
        <f>M44+M45</f>
        <v>60</v>
      </c>
      <c r="N48" s="6">
        <f t="shared" ref="N48:P48" si="28">N44+N45</f>
        <v>10</v>
      </c>
      <c r="O48" s="6">
        <f t="shared" si="28"/>
        <v>40</v>
      </c>
      <c r="P48" s="6">
        <f t="shared" si="28"/>
        <v>10</v>
      </c>
      <c r="Q48" s="8">
        <f t="shared" si="22"/>
        <v>0</v>
      </c>
      <c r="R48" s="8">
        <f t="shared" si="22"/>
        <v>0</v>
      </c>
    </row>
    <row r="49" spans="2:18" ht="25.5" x14ac:dyDescent="0.2">
      <c r="B49" s="139"/>
      <c r="C49" s="145"/>
      <c r="D49" s="139"/>
      <c r="E49" s="139"/>
      <c r="F49" s="6">
        <f>F46</f>
        <v>8908.5</v>
      </c>
      <c r="G49" s="6">
        <f t="shared" ref="G49:I49" si="29">G46</f>
        <v>2969.5</v>
      </c>
      <c r="H49" s="6">
        <f t="shared" si="29"/>
        <v>2969.5</v>
      </c>
      <c r="I49" s="6">
        <f t="shared" si="29"/>
        <v>2969.5</v>
      </c>
      <c r="J49" s="14" t="s">
        <v>54</v>
      </c>
      <c r="L49" s="139"/>
      <c r="M49" s="6">
        <f>M46</f>
        <v>8908.5</v>
      </c>
      <c r="N49" s="6">
        <f t="shared" ref="N49:P49" si="30">N46</f>
        <v>2969.5</v>
      </c>
      <c r="O49" s="6">
        <f t="shared" si="30"/>
        <v>2969.5</v>
      </c>
      <c r="P49" s="6">
        <f t="shared" si="30"/>
        <v>2969.5</v>
      </c>
      <c r="Q49" s="8">
        <f t="shared" si="22"/>
        <v>0</v>
      </c>
      <c r="R49" s="8">
        <f t="shared" si="22"/>
        <v>0</v>
      </c>
    </row>
    <row r="50" spans="2:18" ht="28.5" customHeight="1" x14ac:dyDescent="0.2">
      <c r="B50" s="146" t="s">
        <v>49</v>
      </c>
      <c r="C50" s="146"/>
      <c r="D50" s="146"/>
      <c r="E50" s="146"/>
      <c r="F50" s="146"/>
      <c r="G50" s="146"/>
      <c r="H50" s="146"/>
      <c r="I50" s="146"/>
      <c r="J50" s="146"/>
      <c r="L50" s="146" t="s">
        <v>49</v>
      </c>
      <c r="M50" s="146"/>
      <c r="N50" s="146"/>
      <c r="O50" s="146"/>
      <c r="P50" s="146"/>
      <c r="Q50" s="8"/>
      <c r="R50" s="8"/>
    </row>
    <row r="51" spans="2:18" ht="31.5" customHeight="1" x14ac:dyDescent="0.2">
      <c r="B51" s="7" t="s">
        <v>50</v>
      </c>
      <c r="C51" s="12" t="s">
        <v>77</v>
      </c>
      <c r="D51" s="14" t="s">
        <v>22</v>
      </c>
      <c r="E51" s="14" t="s">
        <v>10</v>
      </c>
      <c r="F51" s="139" t="s">
        <v>16</v>
      </c>
      <c r="G51" s="139"/>
      <c r="H51" s="139"/>
      <c r="I51" s="139"/>
      <c r="J51" s="139"/>
      <c r="L51" s="7" t="s">
        <v>50</v>
      </c>
      <c r="M51" s="139" t="s">
        <v>16</v>
      </c>
      <c r="N51" s="139"/>
      <c r="O51" s="139"/>
      <c r="P51" s="139"/>
      <c r="Q51" s="8"/>
      <c r="R51" s="8"/>
    </row>
    <row r="52" spans="2:18" ht="51" x14ac:dyDescent="0.2">
      <c r="B52" s="7" t="s">
        <v>51</v>
      </c>
      <c r="C52" s="12" t="s">
        <v>26</v>
      </c>
      <c r="D52" s="14" t="s">
        <v>22</v>
      </c>
      <c r="E52" s="14" t="s">
        <v>10</v>
      </c>
      <c r="F52" s="139" t="s">
        <v>16</v>
      </c>
      <c r="G52" s="139"/>
      <c r="H52" s="139"/>
      <c r="I52" s="139"/>
      <c r="J52" s="139"/>
      <c r="L52" s="7" t="s">
        <v>51</v>
      </c>
      <c r="M52" s="139" t="s">
        <v>16</v>
      </c>
      <c r="N52" s="139"/>
      <c r="O52" s="139"/>
      <c r="P52" s="139"/>
      <c r="Q52" s="8"/>
      <c r="R52" s="8"/>
    </row>
    <row r="53" spans="2:18" ht="15.75" customHeight="1" x14ac:dyDescent="0.2">
      <c r="B53" s="159"/>
      <c r="C53" s="146" t="s">
        <v>52</v>
      </c>
      <c r="D53" s="139" t="s">
        <v>22</v>
      </c>
      <c r="E53" s="139" t="s">
        <v>10</v>
      </c>
      <c r="F53" s="6">
        <f>F47</f>
        <v>8968.5</v>
      </c>
      <c r="G53" s="6">
        <f t="shared" ref="G53:I53" si="31">G47</f>
        <v>2979.5</v>
      </c>
      <c r="H53" s="6">
        <f t="shared" si="31"/>
        <v>3009.5</v>
      </c>
      <c r="I53" s="6">
        <f t="shared" si="31"/>
        <v>2979.5</v>
      </c>
      <c r="J53" s="14" t="s">
        <v>25</v>
      </c>
      <c r="L53" s="159"/>
      <c r="M53" s="6">
        <f>M47</f>
        <v>8968.5</v>
      </c>
      <c r="N53" s="6">
        <f t="shared" ref="N53:P53" si="32">N47</f>
        <v>2979.5</v>
      </c>
      <c r="O53" s="6">
        <f t="shared" si="32"/>
        <v>3009.5</v>
      </c>
      <c r="P53" s="6">
        <f t="shared" si="32"/>
        <v>2979.5</v>
      </c>
      <c r="Q53" s="8">
        <f t="shared" ref="Q53:Q67" si="33">F53-M53</f>
        <v>0</v>
      </c>
      <c r="R53" s="8">
        <f t="shared" ref="R53:R67" si="34">G53-N53</f>
        <v>0</v>
      </c>
    </row>
    <row r="54" spans="2:18" ht="42" customHeight="1" x14ac:dyDescent="0.2">
      <c r="B54" s="159"/>
      <c r="C54" s="146"/>
      <c r="D54" s="139"/>
      <c r="E54" s="139"/>
      <c r="F54" s="6">
        <f t="shared" ref="F54:I55" si="35">F48</f>
        <v>60</v>
      </c>
      <c r="G54" s="6">
        <f t="shared" si="35"/>
        <v>10</v>
      </c>
      <c r="H54" s="6">
        <f t="shared" si="35"/>
        <v>40</v>
      </c>
      <c r="I54" s="6">
        <f t="shared" si="35"/>
        <v>10</v>
      </c>
      <c r="J54" s="14" t="s">
        <v>70</v>
      </c>
      <c r="L54" s="159"/>
      <c r="M54" s="6">
        <f t="shared" ref="M54:P55" si="36">M48</f>
        <v>60</v>
      </c>
      <c r="N54" s="6">
        <f t="shared" si="36"/>
        <v>10</v>
      </c>
      <c r="O54" s="6">
        <f t="shared" si="36"/>
        <v>40</v>
      </c>
      <c r="P54" s="6">
        <f t="shared" si="36"/>
        <v>10</v>
      </c>
      <c r="Q54" s="8">
        <f t="shared" si="33"/>
        <v>0</v>
      </c>
      <c r="R54" s="8">
        <f t="shared" si="34"/>
        <v>0</v>
      </c>
    </row>
    <row r="55" spans="2:18" ht="25.5" x14ac:dyDescent="0.2">
      <c r="B55" s="159"/>
      <c r="C55" s="146"/>
      <c r="D55" s="139"/>
      <c r="E55" s="139"/>
      <c r="F55" s="6">
        <f t="shared" si="35"/>
        <v>8908.5</v>
      </c>
      <c r="G55" s="6">
        <f t="shared" si="35"/>
        <v>2969.5</v>
      </c>
      <c r="H55" s="6">
        <f t="shared" si="35"/>
        <v>2969.5</v>
      </c>
      <c r="I55" s="6">
        <f t="shared" si="35"/>
        <v>2969.5</v>
      </c>
      <c r="J55" s="14" t="s">
        <v>54</v>
      </c>
      <c r="L55" s="159"/>
      <c r="M55" s="6">
        <f t="shared" si="36"/>
        <v>8908.5</v>
      </c>
      <c r="N55" s="6">
        <f t="shared" si="36"/>
        <v>2969.5</v>
      </c>
      <c r="O55" s="6">
        <f t="shared" si="36"/>
        <v>2969.5</v>
      </c>
      <c r="P55" s="6">
        <f t="shared" si="36"/>
        <v>2969.5</v>
      </c>
      <c r="Q55" s="8">
        <f t="shared" si="33"/>
        <v>0</v>
      </c>
      <c r="R55" s="8">
        <f t="shared" si="34"/>
        <v>0</v>
      </c>
    </row>
    <row r="56" spans="2:18" ht="34.5" customHeight="1" x14ac:dyDescent="0.2">
      <c r="B56" s="160"/>
      <c r="C56" s="146" t="s">
        <v>55</v>
      </c>
      <c r="D56" s="159"/>
      <c r="E56" s="139" t="s">
        <v>10</v>
      </c>
      <c r="F56" s="6">
        <f>F32+F39+F53</f>
        <v>66976.699999999983</v>
      </c>
      <c r="G56" s="6">
        <f>G32+G39+G53</f>
        <v>23583.499999999996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L56" s="160"/>
      <c r="M56" s="6">
        <f>M32+M39+M53</f>
        <v>65500.4</v>
      </c>
      <c r="N56" s="6">
        <f>N32+N39+N53</f>
        <v>22107.200000000001</v>
      </c>
      <c r="O56" s="6">
        <f>O32+O39+O53</f>
        <v>21711.599999999999</v>
      </c>
      <c r="P56" s="6">
        <f>P32+P39+P53</f>
        <v>21681.599999999999</v>
      </c>
      <c r="Q56" s="8">
        <f t="shared" si="33"/>
        <v>1476.2999999999811</v>
      </c>
      <c r="R56" s="8">
        <f t="shared" si="34"/>
        <v>1476.2999999999956</v>
      </c>
    </row>
    <row r="57" spans="2:18" ht="44.25" customHeight="1" x14ac:dyDescent="0.2">
      <c r="B57" s="160"/>
      <c r="C57" s="146"/>
      <c r="D57" s="159"/>
      <c r="E57" s="139"/>
      <c r="F57" s="6">
        <f>F33+F54</f>
        <v>56662.899999999994</v>
      </c>
      <c r="G57" s="6">
        <f>G33+G54</f>
        <v>19208.699999999997</v>
      </c>
      <c r="H57" s="6">
        <f>H33+H54</f>
        <v>18742.099999999999</v>
      </c>
      <c r="I57" s="6">
        <f>I33+I54</f>
        <v>18712.099999999999</v>
      </c>
      <c r="J57" s="14" t="s">
        <v>70</v>
      </c>
      <c r="L57" s="160"/>
      <c r="M57" s="6">
        <f>M33+M54</f>
        <v>55186.6</v>
      </c>
      <c r="N57" s="6">
        <f>N33+N54</f>
        <v>17732.400000000001</v>
      </c>
      <c r="O57" s="6">
        <f>O33+O54</f>
        <v>18742.099999999999</v>
      </c>
      <c r="P57" s="6">
        <f>P33+P54</f>
        <v>18712.099999999999</v>
      </c>
      <c r="Q57" s="8">
        <f t="shared" si="33"/>
        <v>1476.2999999999956</v>
      </c>
      <c r="R57" s="8">
        <f t="shared" si="34"/>
        <v>1476.2999999999956</v>
      </c>
    </row>
    <row r="58" spans="2:18" ht="31.5" customHeight="1" x14ac:dyDescent="0.2">
      <c r="B58" s="160"/>
      <c r="C58" s="146"/>
      <c r="D58" s="159"/>
      <c r="E58" s="139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L58" s="160"/>
      <c r="M58" s="6">
        <f>M34+M39+M55</f>
        <v>10313.799999999999</v>
      </c>
      <c r="N58" s="6">
        <f>N34+N39+N55</f>
        <v>4374.8</v>
      </c>
      <c r="O58" s="6">
        <f>O34+O39+O55</f>
        <v>2969.5</v>
      </c>
      <c r="P58" s="6">
        <f>P34+P39+P55</f>
        <v>2969.5</v>
      </c>
      <c r="Q58" s="8">
        <f t="shared" si="33"/>
        <v>0</v>
      </c>
      <c r="R58" s="8">
        <f t="shared" si="34"/>
        <v>0</v>
      </c>
    </row>
    <row r="59" spans="2:18" ht="13.5" customHeight="1" x14ac:dyDescent="0.2">
      <c r="B59" s="15"/>
      <c r="C59" s="12" t="s">
        <v>67</v>
      </c>
      <c r="D59" s="15"/>
      <c r="E59" s="15"/>
      <c r="F59" s="3"/>
      <c r="G59" s="3"/>
      <c r="H59" s="3"/>
      <c r="I59" s="3"/>
      <c r="J59" s="15"/>
      <c r="L59" s="15"/>
      <c r="M59" s="3"/>
      <c r="N59" s="3"/>
      <c r="O59" s="3"/>
      <c r="P59" s="3"/>
      <c r="Q59" s="8">
        <f t="shared" si="33"/>
        <v>0</v>
      </c>
      <c r="R59" s="8">
        <f t="shared" si="34"/>
        <v>0</v>
      </c>
    </row>
    <row r="60" spans="2:18" ht="12.75" customHeight="1" x14ac:dyDescent="0.2">
      <c r="B60" s="159"/>
      <c r="C60" s="146" t="s">
        <v>28</v>
      </c>
      <c r="D60" s="159"/>
      <c r="E60" s="139" t="s">
        <v>10</v>
      </c>
      <c r="F60" s="6">
        <f>F47</f>
        <v>8968.5</v>
      </c>
      <c r="G60" s="6">
        <f t="shared" ref="G60:H60" si="37">G47</f>
        <v>2979.5</v>
      </c>
      <c r="H60" s="6">
        <f t="shared" si="37"/>
        <v>3009.5</v>
      </c>
      <c r="I60" s="6">
        <f>I47</f>
        <v>2979.5</v>
      </c>
      <c r="J60" s="14" t="s">
        <v>25</v>
      </c>
      <c r="L60" s="159"/>
      <c r="M60" s="6">
        <f>M47</f>
        <v>8968.5</v>
      </c>
      <c r="N60" s="6">
        <f t="shared" ref="N60:O60" si="38">N47</f>
        <v>2979.5</v>
      </c>
      <c r="O60" s="6">
        <f t="shared" si="38"/>
        <v>3009.5</v>
      </c>
      <c r="P60" s="6">
        <f>P47</f>
        <v>2979.5</v>
      </c>
      <c r="Q60" s="8">
        <f t="shared" si="33"/>
        <v>0</v>
      </c>
      <c r="R60" s="8">
        <f t="shared" si="34"/>
        <v>0</v>
      </c>
    </row>
    <row r="61" spans="2:18" ht="38.25" x14ac:dyDescent="0.2">
      <c r="B61" s="159"/>
      <c r="C61" s="146"/>
      <c r="D61" s="159"/>
      <c r="E61" s="139"/>
      <c r="F61" s="6">
        <f t="shared" ref="F61:I62" si="39">F48</f>
        <v>60</v>
      </c>
      <c r="G61" s="6">
        <f t="shared" si="39"/>
        <v>10</v>
      </c>
      <c r="H61" s="6">
        <f t="shared" si="39"/>
        <v>40</v>
      </c>
      <c r="I61" s="6">
        <f t="shared" si="39"/>
        <v>10</v>
      </c>
      <c r="J61" s="14" t="s">
        <v>70</v>
      </c>
      <c r="L61" s="159"/>
      <c r="M61" s="6">
        <f t="shared" ref="M61:P62" si="40">M48</f>
        <v>60</v>
      </c>
      <c r="N61" s="6">
        <f t="shared" si="40"/>
        <v>10</v>
      </c>
      <c r="O61" s="6">
        <f t="shared" si="40"/>
        <v>40</v>
      </c>
      <c r="P61" s="6">
        <f t="shared" si="40"/>
        <v>10</v>
      </c>
      <c r="Q61" s="8">
        <f t="shared" si="33"/>
        <v>0</v>
      </c>
      <c r="R61" s="8">
        <f t="shared" si="34"/>
        <v>0</v>
      </c>
    </row>
    <row r="62" spans="2:18" ht="25.5" x14ac:dyDescent="0.2">
      <c r="B62" s="159"/>
      <c r="C62" s="146"/>
      <c r="D62" s="159"/>
      <c r="E62" s="139"/>
      <c r="F62" s="6">
        <f t="shared" si="39"/>
        <v>8908.5</v>
      </c>
      <c r="G62" s="6">
        <f t="shared" si="39"/>
        <v>2969.5</v>
      </c>
      <c r="H62" s="6">
        <f t="shared" si="39"/>
        <v>2969.5</v>
      </c>
      <c r="I62" s="6">
        <f>I49</f>
        <v>2969.5</v>
      </c>
      <c r="J62" s="14" t="s">
        <v>54</v>
      </c>
      <c r="L62" s="159"/>
      <c r="M62" s="6">
        <f t="shared" si="40"/>
        <v>8908.5</v>
      </c>
      <c r="N62" s="6">
        <f t="shared" si="40"/>
        <v>2969.5</v>
      </c>
      <c r="O62" s="6">
        <f t="shared" si="40"/>
        <v>2969.5</v>
      </c>
      <c r="P62" s="6">
        <f>P49</f>
        <v>2969.5</v>
      </c>
      <c r="Q62" s="8">
        <f t="shared" si="33"/>
        <v>0</v>
      </c>
      <c r="R62" s="8">
        <f t="shared" si="34"/>
        <v>0</v>
      </c>
    </row>
    <row r="63" spans="2:18" ht="12.75" customHeight="1" x14ac:dyDescent="0.2">
      <c r="B63" s="156"/>
      <c r="C63" s="143" t="s">
        <v>61</v>
      </c>
      <c r="D63" s="156"/>
      <c r="E63" s="140" t="s">
        <v>10</v>
      </c>
      <c r="F63" s="6">
        <f>F26</f>
        <v>32385.300000000003</v>
      </c>
      <c r="G63" s="6">
        <f t="shared" ref="G63:I63" si="41">G26</f>
        <v>12029.7</v>
      </c>
      <c r="H63" s="6">
        <f t="shared" si="41"/>
        <v>10177.800000000001</v>
      </c>
      <c r="I63" s="6">
        <f t="shared" si="41"/>
        <v>10177.800000000001</v>
      </c>
      <c r="J63" s="14" t="s">
        <v>25</v>
      </c>
      <c r="L63" s="156"/>
      <c r="M63" s="6">
        <f>M26</f>
        <v>30909.000000000007</v>
      </c>
      <c r="N63" s="6">
        <f t="shared" ref="N63:P63" si="42">N26</f>
        <v>10553.400000000001</v>
      </c>
      <c r="O63" s="6">
        <f t="shared" si="42"/>
        <v>10177.800000000001</v>
      </c>
      <c r="P63" s="6">
        <f t="shared" si="42"/>
        <v>10177.800000000001</v>
      </c>
      <c r="Q63" s="8">
        <f t="shared" si="33"/>
        <v>1476.2999999999956</v>
      </c>
      <c r="R63" s="8">
        <f t="shared" si="34"/>
        <v>1476.2999999999993</v>
      </c>
    </row>
    <row r="64" spans="2:18" ht="38.25" x14ac:dyDescent="0.2">
      <c r="B64" s="157"/>
      <c r="C64" s="144"/>
      <c r="D64" s="157"/>
      <c r="E64" s="141"/>
      <c r="F64" s="6">
        <f t="shared" ref="F64:I65" si="43">F27</f>
        <v>31030</v>
      </c>
      <c r="G64" s="6">
        <f t="shared" si="43"/>
        <v>10674.4</v>
      </c>
      <c r="H64" s="6">
        <f t="shared" si="43"/>
        <v>10177.800000000001</v>
      </c>
      <c r="I64" s="6">
        <f t="shared" si="43"/>
        <v>10177.800000000001</v>
      </c>
      <c r="J64" s="14" t="s">
        <v>70</v>
      </c>
      <c r="L64" s="157"/>
      <c r="M64" s="6">
        <f t="shared" ref="M64:P65" si="44">M27</f>
        <v>29553.700000000004</v>
      </c>
      <c r="N64" s="6">
        <f t="shared" si="44"/>
        <v>9198.1</v>
      </c>
      <c r="O64" s="6">
        <f t="shared" si="44"/>
        <v>10177.800000000001</v>
      </c>
      <c r="P64" s="6">
        <f t="shared" si="44"/>
        <v>10177.800000000001</v>
      </c>
      <c r="Q64" s="8">
        <f t="shared" si="33"/>
        <v>1476.2999999999956</v>
      </c>
      <c r="R64" s="8">
        <f t="shared" si="34"/>
        <v>1476.2999999999993</v>
      </c>
    </row>
    <row r="65" spans="2:18" ht="25.5" x14ac:dyDescent="0.2">
      <c r="B65" s="158"/>
      <c r="C65" s="145"/>
      <c r="D65" s="158"/>
      <c r="E65" s="142"/>
      <c r="F65" s="6">
        <f t="shared" si="43"/>
        <v>1355.3000000000002</v>
      </c>
      <c r="G65" s="6">
        <f t="shared" si="43"/>
        <v>1355.3000000000002</v>
      </c>
      <c r="H65" s="6">
        <f t="shared" si="43"/>
        <v>0</v>
      </c>
      <c r="I65" s="6">
        <f t="shared" si="43"/>
        <v>0</v>
      </c>
      <c r="J65" s="14" t="s">
        <v>54</v>
      </c>
      <c r="L65" s="158"/>
      <c r="M65" s="6">
        <f t="shared" si="44"/>
        <v>1355.3000000000002</v>
      </c>
      <c r="N65" s="6">
        <f t="shared" si="44"/>
        <v>1355.3000000000002</v>
      </c>
      <c r="O65" s="6">
        <f t="shared" si="44"/>
        <v>0</v>
      </c>
      <c r="P65" s="6">
        <f t="shared" si="44"/>
        <v>0</v>
      </c>
      <c r="Q65" s="8">
        <f t="shared" si="33"/>
        <v>0</v>
      </c>
      <c r="R65" s="8">
        <f t="shared" si="34"/>
        <v>0</v>
      </c>
    </row>
    <row r="66" spans="2:18" ht="38.25" x14ac:dyDescent="0.2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45">G30</f>
        <v>8524.2999999999993</v>
      </c>
      <c r="H66" s="6">
        <f t="shared" si="45"/>
        <v>8524.2999999999993</v>
      </c>
      <c r="I66" s="6">
        <f t="shared" si="45"/>
        <v>8524.2999999999993</v>
      </c>
      <c r="J66" s="14" t="s">
        <v>70</v>
      </c>
      <c r="L66" s="13"/>
      <c r="M66" s="6">
        <f>M30</f>
        <v>25572.899999999998</v>
      </c>
      <c r="N66" s="6">
        <f t="shared" ref="N66:P66" si="46">N30</f>
        <v>8524.2999999999993</v>
      </c>
      <c r="O66" s="6">
        <f t="shared" si="46"/>
        <v>8524.2999999999993</v>
      </c>
      <c r="P66" s="6">
        <f t="shared" si="46"/>
        <v>8524.2999999999993</v>
      </c>
      <c r="Q66" s="8">
        <f t="shared" si="33"/>
        <v>0</v>
      </c>
      <c r="R66" s="8">
        <f t="shared" si="34"/>
        <v>0</v>
      </c>
    </row>
    <row r="67" spans="2:18" ht="25.5" x14ac:dyDescent="0.2">
      <c r="B67" s="13"/>
      <c r="C67" s="12" t="s">
        <v>62</v>
      </c>
      <c r="D67" s="13"/>
      <c r="E67" s="14" t="s">
        <v>10</v>
      </c>
      <c r="F67" s="6">
        <f t="shared" ref="F67:H67" si="47">F39</f>
        <v>50</v>
      </c>
      <c r="G67" s="6">
        <f t="shared" si="47"/>
        <v>50</v>
      </c>
      <c r="H67" s="6">
        <f t="shared" si="47"/>
        <v>0</v>
      </c>
      <c r="I67" s="6">
        <f>I39</f>
        <v>0</v>
      </c>
      <c r="J67" s="14" t="s">
        <v>54</v>
      </c>
      <c r="L67" s="13"/>
      <c r="M67" s="6">
        <f t="shared" ref="M67:O67" si="48">M39</f>
        <v>50</v>
      </c>
      <c r="N67" s="6">
        <f t="shared" si="48"/>
        <v>50</v>
      </c>
      <c r="O67" s="6">
        <f t="shared" si="48"/>
        <v>0</v>
      </c>
      <c r="P67" s="6">
        <f>P39</f>
        <v>0</v>
      </c>
      <c r="Q67" s="8">
        <f t="shared" si="33"/>
        <v>0</v>
      </c>
      <c r="R67" s="8">
        <f t="shared" si="34"/>
        <v>0</v>
      </c>
    </row>
    <row r="72" spans="2:18" s="4" customFormat="1" ht="15" x14ac:dyDescent="0.25">
      <c r="J72" s="9"/>
    </row>
  </sheetData>
  <mergeCells count="79">
    <mergeCell ref="B63:B65"/>
    <mergeCell ref="C63:C65"/>
    <mergeCell ref="D63:D65"/>
    <mergeCell ref="E63:E65"/>
    <mergeCell ref="L63:L65"/>
    <mergeCell ref="B56:B58"/>
    <mergeCell ref="C56:C58"/>
    <mergeCell ref="D56:D58"/>
    <mergeCell ref="E56:E58"/>
    <mergeCell ref="L56:L58"/>
    <mergeCell ref="B60:B62"/>
    <mergeCell ref="C60:C62"/>
    <mergeCell ref="D60:D62"/>
    <mergeCell ref="E60:E62"/>
    <mergeCell ref="L60:L62"/>
    <mergeCell ref="F51:J51"/>
    <mergeCell ref="M51:P51"/>
    <mergeCell ref="F52:J52"/>
    <mergeCell ref="M52:P52"/>
    <mergeCell ref="B53:B55"/>
    <mergeCell ref="C53:C55"/>
    <mergeCell ref="D53:D55"/>
    <mergeCell ref="E53:E55"/>
    <mergeCell ref="L53:L55"/>
    <mergeCell ref="B50:J50"/>
    <mergeCell ref="L50:P50"/>
    <mergeCell ref="B41:J41"/>
    <mergeCell ref="L41:P41"/>
    <mergeCell ref="B42:J42"/>
    <mergeCell ref="L42:P42"/>
    <mergeCell ref="F43:J43"/>
    <mergeCell ref="M43:P43"/>
    <mergeCell ref="B47:B49"/>
    <mergeCell ref="C47:C49"/>
    <mergeCell ref="D47:D49"/>
    <mergeCell ref="E47:E49"/>
    <mergeCell ref="L47:L49"/>
    <mergeCell ref="B35:J35"/>
    <mergeCell ref="L35:P35"/>
    <mergeCell ref="B36:J36"/>
    <mergeCell ref="L36:P36"/>
    <mergeCell ref="B40:J40"/>
    <mergeCell ref="L40:P40"/>
    <mergeCell ref="B29:J29"/>
    <mergeCell ref="L29:P29"/>
    <mergeCell ref="B32:B34"/>
    <mergeCell ref="C32:C34"/>
    <mergeCell ref="D32:D34"/>
    <mergeCell ref="E32:E34"/>
    <mergeCell ref="L32:L34"/>
    <mergeCell ref="F25:J25"/>
    <mergeCell ref="M25:P25"/>
    <mergeCell ref="B26:B28"/>
    <mergeCell ref="C26:C28"/>
    <mergeCell ref="D26:D28"/>
    <mergeCell ref="E26:E28"/>
    <mergeCell ref="L26:L28"/>
    <mergeCell ref="L15:L17"/>
    <mergeCell ref="B19:B21"/>
    <mergeCell ref="C19:C21"/>
    <mergeCell ref="D19:D21"/>
    <mergeCell ref="E19:E21"/>
    <mergeCell ref="L19:L21"/>
    <mergeCell ref="B12:J12"/>
    <mergeCell ref="B13:J13"/>
    <mergeCell ref="B14:J14"/>
    <mergeCell ref="B15:B17"/>
    <mergeCell ref="C15:C17"/>
    <mergeCell ref="D15:D17"/>
    <mergeCell ref="E15:E17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1"/>
  <sheetViews>
    <sheetView tabSelected="1" view="pageBreakPreview" zoomScale="70" zoomScaleNormal="85" zoomScaleSheetLayoutView="70" workbookViewId="0">
      <pane xSplit="11" ySplit="11" topLeftCell="L112" activePane="bottomRight" state="frozen"/>
      <selection pane="topRight" activeCell="L1" sqref="L1"/>
      <selection pane="bottomLeft" activeCell="A12" sqref="A12"/>
      <selection pane="bottomRight" activeCell="AR112" sqref="AR112"/>
    </sheetView>
  </sheetViews>
  <sheetFormatPr defaultRowHeight="18.75" x14ac:dyDescent="0.25"/>
  <cols>
    <col min="1" max="1" width="42" style="18" customWidth="1"/>
    <col min="2" max="2" width="14.7109375" style="18" customWidth="1"/>
    <col min="3" max="3" width="14.5703125" style="19" customWidth="1"/>
    <col min="4" max="4" width="14.7109375" style="19" customWidth="1"/>
    <col min="5" max="5" width="14.42578125" style="19" customWidth="1"/>
    <col min="6" max="6" width="13.42578125" style="19" customWidth="1"/>
    <col min="7" max="7" width="13.140625" style="19" customWidth="1"/>
    <col min="8" max="8" width="11.28515625" style="20" customWidth="1"/>
    <col min="9" max="9" width="12" style="20" customWidth="1"/>
    <col min="10" max="10" width="11.42578125" style="20" customWidth="1"/>
    <col min="11" max="11" width="11.85546875" style="20" customWidth="1"/>
    <col min="12" max="12" width="13.140625" style="20" customWidth="1"/>
    <col min="13" max="13" width="11.7109375" style="20" customWidth="1"/>
    <col min="14" max="14" width="14.28515625" style="20" customWidth="1"/>
    <col min="15" max="15" width="12" style="20" customWidth="1"/>
    <col min="16" max="16" width="14.7109375" style="20" customWidth="1"/>
    <col min="17" max="17" width="11.5703125" style="20" customWidth="1"/>
    <col min="18" max="19" width="13.7109375" style="20" customWidth="1"/>
    <col min="20" max="20" width="13.140625" style="19" customWidth="1"/>
    <col min="21" max="21" width="14.42578125" style="19" customWidth="1"/>
    <col min="22" max="22" width="12.85546875" style="19" customWidth="1"/>
    <col min="23" max="23" width="14" style="19" customWidth="1"/>
    <col min="24" max="24" width="14.28515625" style="19" customWidth="1"/>
    <col min="25" max="25" width="13.140625" style="19" customWidth="1"/>
    <col min="26" max="26" width="13.85546875" style="19" customWidth="1"/>
    <col min="27" max="27" width="12.42578125" style="19" customWidth="1"/>
    <col min="28" max="28" width="11" style="19" customWidth="1"/>
    <col min="29" max="29" width="11.7109375" style="19" customWidth="1"/>
    <col min="30" max="30" width="13.28515625" style="19" customWidth="1"/>
    <col min="31" max="31" width="11.5703125" style="19" customWidth="1"/>
    <col min="32" max="32" width="67.7109375" style="18" customWidth="1"/>
    <col min="33" max="33" width="14.28515625" style="20" customWidth="1"/>
    <col min="34" max="34" width="21.5703125" style="21" customWidth="1"/>
    <col min="35" max="256" width="9.140625" style="20"/>
    <col min="257" max="257" width="51.42578125" style="20" customWidth="1"/>
    <col min="258" max="258" width="15.28515625" style="20" customWidth="1"/>
    <col min="259" max="259" width="17.140625" style="20" customWidth="1"/>
    <col min="260" max="260" width="13.85546875" style="20" customWidth="1"/>
    <col min="261" max="261" width="15.42578125" style="20" customWidth="1"/>
    <col min="262" max="263" width="13.42578125" style="20" customWidth="1"/>
    <col min="264" max="264" width="17.42578125" style="20" customWidth="1"/>
    <col min="265" max="265" width="14.7109375" style="20" customWidth="1"/>
    <col min="266" max="266" width="13.5703125" style="20" customWidth="1"/>
    <col min="267" max="267" width="15.140625" style="20" customWidth="1"/>
    <col min="268" max="268" width="14.7109375" style="20" customWidth="1"/>
    <col min="269" max="269" width="15.140625" style="20" customWidth="1"/>
    <col min="270" max="270" width="14.140625" style="20" customWidth="1"/>
    <col min="271" max="271" width="14.7109375" style="20" customWidth="1"/>
    <col min="272" max="272" width="14.42578125" style="20" customWidth="1"/>
    <col min="273" max="273" width="15" style="20" customWidth="1"/>
    <col min="274" max="274" width="14.5703125" style="20" customWidth="1"/>
    <col min="275" max="275" width="14.85546875" style="20" customWidth="1"/>
    <col min="276" max="276" width="15" style="20" customWidth="1"/>
    <col min="277" max="287" width="16.140625" style="20" customWidth="1"/>
    <col min="288" max="288" width="58.140625" style="20" customWidth="1"/>
    <col min="289" max="289" width="3.7109375" style="20" customWidth="1"/>
    <col min="290" max="290" width="18.85546875" style="20" customWidth="1"/>
    <col min="291" max="512" width="9.140625" style="20"/>
    <col min="513" max="513" width="51.42578125" style="20" customWidth="1"/>
    <col min="514" max="514" width="15.28515625" style="20" customWidth="1"/>
    <col min="515" max="515" width="17.140625" style="20" customWidth="1"/>
    <col min="516" max="516" width="13.85546875" style="20" customWidth="1"/>
    <col min="517" max="517" width="15.42578125" style="20" customWidth="1"/>
    <col min="518" max="519" width="13.42578125" style="20" customWidth="1"/>
    <col min="520" max="520" width="17.42578125" style="20" customWidth="1"/>
    <col min="521" max="521" width="14.7109375" style="20" customWidth="1"/>
    <col min="522" max="522" width="13.5703125" style="20" customWidth="1"/>
    <col min="523" max="523" width="15.140625" style="20" customWidth="1"/>
    <col min="524" max="524" width="14.7109375" style="20" customWidth="1"/>
    <col min="525" max="525" width="15.140625" style="20" customWidth="1"/>
    <col min="526" max="526" width="14.140625" style="20" customWidth="1"/>
    <col min="527" max="527" width="14.7109375" style="20" customWidth="1"/>
    <col min="528" max="528" width="14.42578125" style="20" customWidth="1"/>
    <col min="529" max="529" width="15" style="20" customWidth="1"/>
    <col min="530" max="530" width="14.5703125" style="20" customWidth="1"/>
    <col min="531" max="531" width="14.85546875" style="20" customWidth="1"/>
    <col min="532" max="532" width="15" style="20" customWidth="1"/>
    <col min="533" max="543" width="16.140625" style="20" customWidth="1"/>
    <col min="544" max="544" width="58.140625" style="20" customWidth="1"/>
    <col min="545" max="545" width="3.7109375" style="20" customWidth="1"/>
    <col min="546" max="546" width="18.85546875" style="20" customWidth="1"/>
    <col min="547" max="768" width="9.140625" style="20"/>
    <col min="769" max="769" width="51.42578125" style="20" customWidth="1"/>
    <col min="770" max="770" width="15.28515625" style="20" customWidth="1"/>
    <col min="771" max="771" width="17.140625" style="20" customWidth="1"/>
    <col min="772" max="772" width="13.85546875" style="20" customWidth="1"/>
    <col min="773" max="773" width="15.42578125" style="20" customWidth="1"/>
    <col min="774" max="775" width="13.42578125" style="20" customWidth="1"/>
    <col min="776" max="776" width="17.42578125" style="20" customWidth="1"/>
    <col min="777" max="777" width="14.7109375" style="20" customWidth="1"/>
    <col min="778" max="778" width="13.5703125" style="20" customWidth="1"/>
    <col min="779" max="779" width="15.140625" style="20" customWidth="1"/>
    <col min="780" max="780" width="14.7109375" style="20" customWidth="1"/>
    <col min="781" max="781" width="15.140625" style="20" customWidth="1"/>
    <col min="782" max="782" width="14.140625" style="20" customWidth="1"/>
    <col min="783" max="783" width="14.7109375" style="20" customWidth="1"/>
    <col min="784" max="784" width="14.42578125" style="20" customWidth="1"/>
    <col min="785" max="785" width="15" style="20" customWidth="1"/>
    <col min="786" max="786" width="14.5703125" style="20" customWidth="1"/>
    <col min="787" max="787" width="14.85546875" style="20" customWidth="1"/>
    <col min="788" max="788" width="15" style="20" customWidth="1"/>
    <col min="789" max="799" width="16.140625" style="20" customWidth="1"/>
    <col min="800" max="800" width="58.140625" style="20" customWidth="1"/>
    <col min="801" max="801" width="3.7109375" style="20" customWidth="1"/>
    <col min="802" max="802" width="18.85546875" style="20" customWidth="1"/>
    <col min="803" max="1024" width="9.140625" style="20"/>
    <col min="1025" max="1025" width="51.42578125" style="20" customWidth="1"/>
    <col min="1026" max="1026" width="15.28515625" style="20" customWidth="1"/>
    <col min="1027" max="1027" width="17.140625" style="20" customWidth="1"/>
    <col min="1028" max="1028" width="13.85546875" style="20" customWidth="1"/>
    <col min="1029" max="1029" width="15.42578125" style="20" customWidth="1"/>
    <col min="1030" max="1031" width="13.42578125" style="20" customWidth="1"/>
    <col min="1032" max="1032" width="17.42578125" style="20" customWidth="1"/>
    <col min="1033" max="1033" width="14.7109375" style="20" customWidth="1"/>
    <col min="1034" max="1034" width="13.5703125" style="20" customWidth="1"/>
    <col min="1035" max="1035" width="15.140625" style="20" customWidth="1"/>
    <col min="1036" max="1036" width="14.7109375" style="20" customWidth="1"/>
    <col min="1037" max="1037" width="15.140625" style="20" customWidth="1"/>
    <col min="1038" max="1038" width="14.140625" style="20" customWidth="1"/>
    <col min="1039" max="1039" width="14.7109375" style="20" customWidth="1"/>
    <col min="1040" max="1040" width="14.42578125" style="20" customWidth="1"/>
    <col min="1041" max="1041" width="15" style="20" customWidth="1"/>
    <col min="1042" max="1042" width="14.5703125" style="20" customWidth="1"/>
    <col min="1043" max="1043" width="14.85546875" style="20" customWidth="1"/>
    <col min="1044" max="1044" width="15" style="20" customWidth="1"/>
    <col min="1045" max="1055" width="16.140625" style="20" customWidth="1"/>
    <col min="1056" max="1056" width="58.140625" style="20" customWidth="1"/>
    <col min="1057" max="1057" width="3.7109375" style="20" customWidth="1"/>
    <col min="1058" max="1058" width="18.85546875" style="20" customWidth="1"/>
    <col min="1059" max="1280" width="9.140625" style="20"/>
    <col min="1281" max="1281" width="51.42578125" style="20" customWidth="1"/>
    <col min="1282" max="1282" width="15.28515625" style="20" customWidth="1"/>
    <col min="1283" max="1283" width="17.140625" style="20" customWidth="1"/>
    <col min="1284" max="1284" width="13.85546875" style="20" customWidth="1"/>
    <col min="1285" max="1285" width="15.42578125" style="20" customWidth="1"/>
    <col min="1286" max="1287" width="13.42578125" style="20" customWidth="1"/>
    <col min="1288" max="1288" width="17.42578125" style="20" customWidth="1"/>
    <col min="1289" max="1289" width="14.7109375" style="20" customWidth="1"/>
    <col min="1290" max="1290" width="13.5703125" style="20" customWidth="1"/>
    <col min="1291" max="1291" width="15.140625" style="20" customWidth="1"/>
    <col min="1292" max="1292" width="14.7109375" style="20" customWidth="1"/>
    <col min="1293" max="1293" width="15.140625" style="20" customWidth="1"/>
    <col min="1294" max="1294" width="14.140625" style="20" customWidth="1"/>
    <col min="1295" max="1295" width="14.7109375" style="20" customWidth="1"/>
    <col min="1296" max="1296" width="14.42578125" style="20" customWidth="1"/>
    <col min="1297" max="1297" width="15" style="20" customWidth="1"/>
    <col min="1298" max="1298" width="14.5703125" style="20" customWidth="1"/>
    <col min="1299" max="1299" width="14.85546875" style="20" customWidth="1"/>
    <col min="1300" max="1300" width="15" style="20" customWidth="1"/>
    <col min="1301" max="1311" width="16.140625" style="20" customWidth="1"/>
    <col min="1312" max="1312" width="58.140625" style="20" customWidth="1"/>
    <col min="1313" max="1313" width="3.7109375" style="20" customWidth="1"/>
    <col min="1314" max="1314" width="18.85546875" style="20" customWidth="1"/>
    <col min="1315" max="1536" width="9.140625" style="20"/>
    <col min="1537" max="1537" width="51.42578125" style="20" customWidth="1"/>
    <col min="1538" max="1538" width="15.28515625" style="20" customWidth="1"/>
    <col min="1539" max="1539" width="17.140625" style="20" customWidth="1"/>
    <col min="1540" max="1540" width="13.85546875" style="20" customWidth="1"/>
    <col min="1541" max="1541" width="15.42578125" style="20" customWidth="1"/>
    <col min="1542" max="1543" width="13.42578125" style="20" customWidth="1"/>
    <col min="1544" max="1544" width="17.42578125" style="20" customWidth="1"/>
    <col min="1545" max="1545" width="14.7109375" style="20" customWidth="1"/>
    <col min="1546" max="1546" width="13.5703125" style="20" customWidth="1"/>
    <col min="1547" max="1547" width="15.140625" style="20" customWidth="1"/>
    <col min="1548" max="1548" width="14.7109375" style="20" customWidth="1"/>
    <col min="1549" max="1549" width="15.140625" style="20" customWidth="1"/>
    <col min="1550" max="1550" width="14.140625" style="20" customWidth="1"/>
    <col min="1551" max="1551" width="14.7109375" style="20" customWidth="1"/>
    <col min="1552" max="1552" width="14.42578125" style="20" customWidth="1"/>
    <col min="1553" max="1553" width="15" style="20" customWidth="1"/>
    <col min="1554" max="1554" width="14.5703125" style="20" customWidth="1"/>
    <col min="1555" max="1555" width="14.85546875" style="20" customWidth="1"/>
    <col min="1556" max="1556" width="15" style="20" customWidth="1"/>
    <col min="1557" max="1567" width="16.140625" style="20" customWidth="1"/>
    <col min="1568" max="1568" width="58.140625" style="20" customWidth="1"/>
    <col min="1569" max="1569" width="3.7109375" style="20" customWidth="1"/>
    <col min="1570" max="1570" width="18.85546875" style="20" customWidth="1"/>
    <col min="1571" max="1792" width="9.140625" style="20"/>
    <col min="1793" max="1793" width="51.42578125" style="20" customWidth="1"/>
    <col min="1794" max="1794" width="15.28515625" style="20" customWidth="1"/>
    <col min="1795" max="1795" width="17.140625" style="20" customWidth="1"/>
    <col min="1796" max="1796" width="13.85546875" style="20" customWidth="1"/>
    <col min="1797" max="1797" width="15.42578125" style="20" customWidth="1"/>
    <col min="1798" max="1799" width="13.42578125" style="20" customWidth="1"/>
    <col min="1800" max="1800" width="17.42578125" style="20" customWidth="1"/>
    <col min="1801" max="1801" width="14.7109375" style="20" customWidth="1"/>
    <col min="1802" max="1802" width="13.5703125" style="20" customWidth="1"/>
    <col min="1803" max="1803" width="15.140625" style="20" customWidth="1"/>
    <col min="1804" max="1804" width="14.7109375" style="20" customWidth="1"/>
    <col min="1805" max="1805" width="15.140625" style="20" customWidth="1"/>
    <col min="1806" max="1806" width="14.140625" style="20" customWidth="1"/>
    <col min="1807" max="1807" width="14.7109375" style="20" customWidth="1"/>
    <col min="1808" max="1808" width="14.42578125" style="20" customWidth="1"/>
    <col min="1809" max="1809" width="15" style="20" customWidth="1"/>
    <col min="1810" max="1810" width="14.5703125" style="20" customWidth="1"/>
    <col min="1811" max="1811" width="14.85546875" style="20" customWidth="1"/>
    <col min="1812" max="1812" width="15" style="20" customWidth="1"/>
    <col min="1813" max="1823" width="16.140625" style="20" customWidth="1"/>
    <col min="1824" max="1824" width="58.140625" style="20" customWidth="1"/>
    <col min="1825" max="1825" width="3.7109375" style="20" customWidth="1"/>
    <col min="1826" max="1826" width="18.85546875" style="20" customWidth="1"/>
    <col min="1827" max="2048" width="9.140625" style="20"/>
    <col min="2049" max="2049" width="51.42578125" style="20" customWidth="1"/>
    <col min="2050" max="2050" width="15.28515625" style="20" customWidth="1"/>
    <col min="2051" max="2051" width="17.140625" style="20" customWidth="1"/>
    <col min="2052" max="2052" width="13.85546875" style="20" customWidth="1"/>
    <col min="2053" max="2053" width="15.42578125" style="20" customWidth="1"/>
    <col min="2054" max="2055" width="13.42578125" style="20" customWidth="1"/>
    <col min="2056" max="2056" width="17.42578125" style="20" customWidth="1"/>
    <col min="2057" max="2057" width="14.7109375" style="20" customWidth="1"/>
    <col min="2058" max="2058" width="13.5703125" style="20" customWidth="1"/>
    <col min="2059" max="2059" width="15.140625" style="20" customWidth="1"/>
    <col min="2060" max="2060" width="14.7109375" style="20" customWidth="1"/>
    <col min="2061" max="2061" width="15.140625" style="20" customWidth="1"/>
    <col min="2062" max="2062" width="14.140625" style="20" customWidth="1"/>
    <col min="2063" max="2063" width="14.7109375" style="20" customWidth="1"/>
    <col min="2064" max="2064" width="14.42578125" style="20" customWidth="1"/>
    <col min="2065" max="2065" width="15" style="20" customWidth="1"/>
    <col min="2066" max="2066" width="14.5703125" style="20" customWidth="1"/>
    <col min="2067" max="2067" width="14.85546875" style="20" customWidth="1"/>
    <col min="2068" max="2068" width="15" style="20" customWidth="1"/>
    <col min="2069" max="2079" width="16.140625" style="20" customWidth="1"/>
    <col min="2080" max="2080" width="58.140625" style="20" customWidth="1"/>
    <col min="2081" max="2081" width="3.7109375" style="20" customWidth="1"/>
    <col min="2082" max="2082" width="18.85546875" style="20" customWidth="1"/>
    <col min="2083" max="2304" width="9.140625" style="20"/>
    <col min="2305" max="2305" width="51.42578125" style="20" customWidth="1"/>
    <col min="2306" max="2306" width="15.28515625" style="20" customWidth="1"/>
    <col min="2307" max="2307" width="17.140625" style="20" customWidth="1"/>
    <col min="2308" max="2308" width="13.85546875" style="20" customWidth="1"/>
    <col min="2309" max="2309" width="15.42578125" style="20" customWidth="1"/>
    <col min="2310" max="2311" width="13.42578125" style="20" customWidth="1"/>
    <col min="2312" max="2312" width="17.42578125" style="20" customWidth="1"/>
    <col min="2313" max="2313" width="14.7109375" style="20" customWidth="1"/>
    <col min="2314" max="2314" width="13.5703125" style="20" customWidth="1"/>
    <col min="2315" max="2315" width="15.140625" style="20" customWidth="1"/>
    <col min="2316" max="2316" width="14.7109375" style="20" customWidth="1"/>
    <col min="2317" max="2317" width="15.140625" style="20" customWidth="1"/>
    <col min="2318" max="2318" width="14.140625" style="20" customWidth="1"/>
    <col min="2319" max="2319" width="14.7109375" style="20" customWidth="1"/>
    <col min="2320" max="2320" width="14.42578125" style="20" customWidth="1"/>
    <col min="2321" max="2321" width="15" style="20" customWidth="1"/>
    <col min="2322" max="2322" width="14.5703125" style="20" customWidth="1"/>
    <col min="2323" max="2323" width="14.85546875" style="20" customWidth="1"/>
    <col min="2324" max="2324" width="15" style="20" customWidth="1"/>
    <col min="2325" max="2335" width="16.140625" style="20" customWidth="1"/>
    <col min="2336" max="2336" width="58.140625" style="20" customWidth="1"/>
    <col min="2337" max="2337" width="3.7109375" style="20" customWidth="1"/>
    <col min="2338" max="2338" width="18.85546875" style="20" customWidth="1"/>
    <col min="2339" max="2560" width="9.140625" style="20"/>
    <col min="2561" max="2561" width="51.42578125" style="20" customWidth="1"/>
    <col min="2562" max="2562" width="15.28515625" style="20" customWidth="1"/>
    <col min="2563" max="2563" width="17.140625" style="20" customWidth="1"/>
    <col min="2564" max="2564" width="13.85546875" style="20" customWidth="1"/>
    <col min="2565" max="2565" width="15.42578125" style="20" customWidth="1"/>
    <col min="2566" max="2567" width="13.42578125" style="20" customWidth="1"/>
    <col min="2568" max="2568" width="17.42578125" style="20" customWidth="1"/>
    <col min="2569" max="2569" width="14.7109375" style="20" customWidth="1"/>
    <col min="2570" max="2570" width="13.5703125" style="20" customWidth="1"/>
    <col min="2571" max="2571" width="15.140625" style="20" customWidth="1"/>
    <col min="2572" max="2572" width="14.7109375" style="20" customWidth="1"/>
    <col min="2573" max="2573" width="15.140625" style="20" customWidth="1"/>
    <col min="2574" max="2574" width="14.140625" style="20" customWidth="1"/>
    <col min="2575" max="2575" width="14.7109375" style="20" customWidth="1"/>
    <col min="2576" max="2576" width="14.42578125" style="20" customWidth="1"/>
    <col min="2577" max="2577" width="15" style="20" customWidth="1"/>
    <col min="2578" max="2578" width="14.5703125" style="20" customWidth="1"/>
    <col min="2579" max="2579" width="14.85546875" style="20" customWidth="1"/>
    <col min="2580" max="2580" width="15" style="20" customWidth="1"/>
    <col min="2581" max="2591" width="16.140625" style="20" customWidth="1"/>
    <col min="2592" max="2592" width="58.140625" style="20" customWidth="1"/>
    <col min="2593" max="2593" width="3.7109375" style="20" customWidth="1"/>
    <col min="2594" max="2594" width="18.85546875" style="20" customWidth="1"/>
    <col min="2595" max="2816" width="9.140625" style="20"/>
    <col min="2817" max="2817" width="51.42578125" style="20" customWidth="1"/>
    <col min="2818" max="2818" width="15.28515625" style="20" customWidth="1"/>
    <col min="2819" max="2819" width="17.140625" style="20" customWidth="1"/>
    <col min="2820" max="2820" width="13.85546875" style="20" customWidth="1"/>
    <col min="2821" max="2821" width="15.42578125" style="20" customWidth="1"/>
    <col min="2822" max="2823" width="13.42578125" style="20" customWidth="1"/>
    <col min="2824" max="2824" width="17.42578125" style="20" customWidth="1"/>
    <col min="2825" max="2825" width="14.7109375" style="20" customWidth="1"/>
    <col min="2826" max="2826" width="13.5703125" style="20" customWidth="1"/>
    <col min="2827" max="2827" width="15.140625" style="20" customWidth="1"/>
    <col min="2828" max="2828" width="14.7109375" style="20" customWidth="1"/>
    <col min="2829" max="2829" width="15.140625" style="20" customWidth="1"/>
    <col min="2830" max="2830" width="14.140625" style="20" customWidth="1"/>
    <col min="2831" max="2831" width="14.7109375" style="20" customWidth="1"/>
    <col min="2832" max="2832" width="14.42578125" style="20" customWidth="1"/>
    <col min="2833" max="2833" width="15" style="20" customWidth="1"/>
    <col min="2834" max="2834" width="14.5703125" style="20" customWidth="1"/>
    <col min="2835" max="2835" width="14.85546875" style="20" customWidth="1"/>
    <col min="2836" max="2836" width="15" style="20" customWidth="1"/>
    <col min="2837" max="2847" width="16.140625" style="20" customWidth="1"/>
    <col min="2848" max="2848" width="58.140625" style="20" customWidth="1"/>
    <col min="2849" max="2849" width="3.7109375" style="20" customWidth="1"/>
    <col min="2850" max="2850" width="18.85546875" style="20" customWidth="1"/>
    <col min="2851" max="3072" width="9.140625" style="20"/>
    <col min="3073" max="3073" width="51.42578125" style="20" customWidth="1"/>
    <col min="3074" max="3074" width="15.28515625" style="20" customWidth="1"/>
    <col min="3075" max="3075" width="17.140625" style="20" customWidth="1"/>
    <col min="3076" max="3076" width="13.85546875" style="20" customWidth="1"/>
    <col min="3077" max="3077" width="15.42578125" style="20" customWidth="1"/>
    <col min="3078" max="3079" width="13.42578125" style="20" customWidth="1"/>
    <col min="3080" max="3080" width="17.42578125" style="20" customWidth="1"/>
    <col min="3081" max="3081" width="14.7109375" style="20" customWidth="1"/>
    <col min="3082" max="3082" width="13.5703125" style="20" customWidth="1"/>
    <col min="3083" max="3083" width="15.140625" style="20" customWidth="1"/>
    <col min="3084" max="3084" width="14.7109375" style="20" customWidth="1"/>
    <col min="3085" max="3085" width="15.140625" style="20" customWidth="1"/>
    <col min="3086" max="3086" width="14.140625" style="20" customWidth="1"/>
    <col min="3087" max="3087" width="14.7109375" style="20" customWidth="1"/>
    <col min="3088" max="3088" width="14.42578125" style="20" customWidth="1"/>
    <col min="3089" max="3089" width="15" style="20" customWidth="1"/>
    <col min="3090" max="3090" width="14.5703125" style="20" customWidth="1"/>
    <col min="3091" max="3091" width="14.85546875" style="20" customWidth="1"/>
    <col min="3092" max="3092" width="15" style="20" customWidth="1"/>
    <col min="3093" max="3103" width="16.140625" style="20" customWidth="1"/>
    <col min="3104" max="3104" width="58.140625" style="20" customWidth="1"/>
    <col min="3105" max="3105" width="3.7109375" style="20" customWidth="1"/>
    <col min="3106" max="3106" width="18.85546875" style="20" customWidth="1"/>
    <col min="3107" max="3328" width="9.140625" style="20"/>
    <col min="3329" max="3329" width="51.42578125" style="20" customWidth="1"/>
    <col min="3330" max="3330" width="15.28515625" style="20" customWidth="1"/>
    <col min="3331" max="3331" width="17.140625" style="20" customWidth="1"/>
    <col min="3332" max="3332" width="13.85546875" style="20" customWidth="1"/>
    <col min="3333" max="3333" width="15.42578125" style="20" customWidth="1"/>
    <col min="3334" max="3335" width="13.42578125" style="20" customWidth="1"/>
    <col min="3336" max="3336" width="17.42578125" style="20" customWidth="1"/>
    <col min="3337" max="3337" width="14.7109375" style="20" customWidth="1"/>
    <col min="3338" max="3338" width="13.5703125" style="20" customWidth="1"/>
    <col min="3339" max="3339" width="15.140625" style="20" customWidth="1"/>
    <col min="3340" max="3340" width="14.7109375" style="20" customWidth="1"/>
    <col min="3341" max="3341" width="15.140625" style="20" customWidth="1"/>
    <col min="3342" max="3342" width="14.140625" style="20" customWidth="1"/>
    <col min="3343" max="3343" width="14.7109375" style="20" customWidth="1"/>
    <col min="3344" max="3344" width="14.42578125" style="20" customWidth="1"/>
    <col min="3345" max="3345" width="15" style="20" customWidth="1"/>
    <col min="3346" max="3346" width="14.5703125" style="20" customWidth="1"/>
    <col min="3347" max="3347" width="14.85546875" style="20" customWidth="1"/>
    <col min="3348" max="3348" width="15" style="20" customWidth="1"/>
    <col min="3349" max="3359" width="16.140625" style="20" customWidth="1"/>
    <col min="3360" max="3360" width="58.140625" style="20" customWidth="1"/>
    <col min="3361" max="3361" width="3.7109375" style="20" customWidth="1"/>
    <col min="3362" max="3362" width="18.85546875" style="20" customWidth="1"/>
    <col min="3363" max="3584" width="9.140625" style="20"/>
    <col min="3585" max="3585" width="51.42578125" style="20" customWidth="1"/>
    <col min="3586" max="3586" width="15.28515625" style="20" customWidth="1"/>
    <col min="3587" max="3587" width="17.140625" style="20" customWidth="1"/>
    <col min="3588" max="3588" width="13.85546875" style="20" customWidth="1"/>
    <col min="3589" max="3589" width="15.42578125" style="20" customWidth="1"/>
    <col min="3590" max="3591" width="13.42578125" style="20" customWidth="1"/>
    <col min="3592" max="3592" width="17.42578125" style="20" customWidth="1"/>
    <col min="3593" max="3593" width="14.7109375" style="20" customWidth="1"/>
    <col min="3594" max="3594" width="13.5703125" style="20" customWidth="1"/>
    <col min="3595" max="3595" width="15.140625" style="20" customWidth="1"/>
    <col min="3596" max="3596" width="14.7109375" style="20" customWidth="1"/>
    <col min="3597" max="3597" width="15.140625" style="20" customWidth="1"/>
    <col min="3598" max="3598" width="14.140625" style="20" customWidth="1"/>
    <col min="3599" max="3599" width="14.7109375" style="20" customWidth="1"/>
    <col min="3600" max="3600" width="14.42578125" style="20" customWidth="1"/>
    <col min="3601" max="3601" width="15" style="20" customWidth="1"/>
    <col min="3602" max="3602" width="14.5703125" style="20" customWidth="1"/>
    <col min="3603" max="3603" width="14.85546875" style="20" customWidth="1"/>
    <col min="3604" max="3604" width="15" style="20" customWidth="1"/>
    <col min="3605" max="3615" width="16.140625" style="20" customWidth="1"/>
    <col min="3616" max="3616" width="58.140625" style="20" customWidth="1"/>
    <col min="3617" max="3617" width="3.7109375" style="20" customWidth="1"/>
    <col min="3618" max="3618" width="18.85546875" style="20" customWidth="1"/>
    <col min="3619" max="3840" width="9.140625" style="20"/>
    <col min="3841" max="3841" width="51.42578125" style="20" customWidth="1"/>
    <col min="3842" max="3842" width="15.28515625" style="20" customWidth="1"/>
    <col min="3843" max="3843" width="17.140625" style="20" customWidth="1"/>
    <col min="3844" max="3844" width="13.85546875" style="20" customWidth="1"/>
    <col min="3845" max="3845" width="15.42578125" style="20" customWidth="1"/>
    <col min="3846" max="3847" width="13.42578125" style="20" customWidth="1"/>
    <col min="3848" max="3848" width="17.42578125" style="20" customWidth="1"/>
    <col min="3849" max="3849" width="14.7109375" style="20" customWidth="1"/>
    <col min="3850" max="3850" width="13.5703125" style="20" customWidth="1"/>
    <col min="3851" max="3851" width="15.140625" style="20" customWidth="1"/>
    <col min="3852" max="3852" width="14.7109375" style="20" customWidth="1"/>
    <col min="3853" max="3853" width="15.140625" style="20" customWidth="1"/>
    <col min="3854" max="3854" width="14.140625" style="20" customWidth="1"/>
    <col min="3855" max="3855" width="14.7109375" style="20" customWidth="1"/>
    <col min="3856" max="3856" width="14.42578125" style="20" customWidth="1"/>
    <col min="3857" max="3857" width="15" style="20" customWidth="1"/>
    <col min="3858" max="3858" width="14.5703125" style="20" customWidth="1"/>
    <col min="3859" max="3859" width="14.85546875" style="20" customWidth="1"/>
    <col min="3860" max="3860" width="15" style="20" customWidth="1"/>
    <col min="3861" max="3871" width="16.140625" style="20" customWidth="1"/>
    <col min="3872" max="3872" width="58.140625" style="20" customWidth="1"/>
    <col min="3873" max="3873" width="3.7109375" style="20" customWidth="1"/>
    <col min="3874" max="3874" width="18.85546875" style="20" customWidth="1"/>
    <col min="3875" max="4096" width="9.140625" style="20"/>
    <col min="4097" max="4097" width="51.42578125" style="20" customWidth="1"/>
    <col min="4098" max="4098" width="15.28515625" style="20" customWidth="1"/>
    <col min="4099" max="4099" width="17.140625" style="20" customWidth="1"/>
    <col min="4100" max="4100" width="13.85546875" style="20" customWidth="1"/>
    <col min="4101" max="4101" width="15.42578125" style="20" customWidth="1"/>
    <col min="4102" max="4103" width="13.42578125" style="20" customWidth="1"/>
    <col min="4104" max="4104" width="17.42578125" style="20" customWidth="1"/>
    <col min="4105" max="4105" width="14.7109375" style="20" customWidth="1"/>
    <col min="4106" max="4106" width="13.5703125" style="20" customWidth="1"/>
    <col min="4107" max="4107" width="15.140625" style="20" customWidth="1"/>
    <col min="4108" max="4108" width="14.7109375" style="20" customWidth="1"/>
    <col min="4109" max="4109" width="15.140625" style="20" customWidth="1"/>
    <col min="4110" max="4110" width="14.140625" style="20" customWidth="1"/>
    <col min="4111" max="4111" width="14.7109375" style="20" customWidth="1"/>
    <col min="4112" max="4112" width="14.42578125" style="20" customWidth="1"/>
    <col min="4113" max="4113" width="15" style="20" customWidth="1"/>
    <col min="4114" max="4114" width="14.5703125" style="20" customWidth="1"/>
    <col min="4115" max="4115" width="14.85546875" style="20" customWidth="1"/>
    <col min="4116" max="4116" width="15" style="20" customWidth="1"/>
    <col min="4117" max="4127" width="16.140625" style="20" customWidth="1"/>
    <col min="4128" max="4128" width="58.140625" style="20" customWidth="1"/>
    <col min="4129" max="4129" width="3.7109375" style="20" customWidth="1"/>
    <col min="4130" max="4130" width="18.85546875" style="20" customWidth="1"/>
    <col min="4131" max="4352" width="9.140625" style="20"/>
    <col min="4353" max="4353" width="51.42578125" style="20" customWidth="1"/>
    <col min="4354" max="4354" width="15.28515625" style="20" customWidth="1"/>
    <col min="4355" max="4355" width="17.140625" style="20" customWidth="1"/>
    <col min="4356" max="4356" width="13.85546875" style="20" customWidth="1"/>
    <col min="4357" max="4357" width="15.42578125" style="20" customWidth="1"/>
    <col min="4358" max="4359" width="13.42578125" style="20" customWidth="1"/>
    <col min="4360" max="4360" width="17.42578125" style="20" customWidth="1"/>
    <col min="4361" max="4361" width="14.7109375" style="20" customWidth="1"/>
    <col min="4362" max="4362" width="13.5703125" style="20" customWidth="1"/>
    <col min="4363" max="4363" width="15.140625" style="20" customWidth="1"/>
    <col min="4364" max="4364" width="14.7109375" style="20" customWidth="1"/>
    <col min="4365" max="4365" width="15.140625" style="20" customWidth="1"/>
    <col min="4366" max="4366" width="14.140625" style="20" customWidth="1"/>
    <col min="4367" max="4367" width="14.7109375" style="20" customWidth="1"/>
    <col min="4368" max="4368" width="14.42578125" style="20" customWidth="1"/>
    <col min="4369" max="4369" width="15" style="20" customWidth="1"/>
    <col min="4370" max="4370" width="14.5703125" style="20" customWidth="1"/>
    <col min="4371" max="4371" width="14.85546875" style="20" customWidth="1"/>
    <col min="4372" max="4372" width="15" style="20" customWidth="1"/>
    <col min="4373" max="4383" width="16.140625" style="20" customWidth="1"/>
    <col min="4384" max="4384" width="58.140625" style="20" customWidth="1"/>
    <col min="4385" max="4385" width="3.7109375" style="20" customWidth="1"/>
    <col min="4386" max="4386" width="18.85546875" style="20" customWidth="1"/>
    <col min="4387" max="4608" width="9.140625" style="20"/>
    <col min="4609" max="4609" width="51.42578125" style="20" customWidth="1"/>
    <col min="4610" max="4610" width="15.28515625" style="20" customWidth="1"/>
    <col min="4611" max="4611" width="17.140625" style="20" customWidth="1"/>
    <col min="4612" max="4612" width="13.85546875" style="20" customWidth="1"/>
    <col min="4613" max="4613" width="15.42578125" style="20" customWidth="1"/>
    <col min="4614" max="4615" width="13.42578125" style="20" customWidth="1"/>
    <col min="4616" max="4616" width="17.42578125" style="20" customWidth="1"/>
    <col min="4617" max="4617" width="14.7109375" style="20" customWidth="1"/>
    <col min="4618" max="4618" width="13.5703125" style="20" customWidth="1"/>
    <col min="4619" max="4619" width="15.140625" style="20" customWidth="1"/>
    <col min="4620" max="4620" width="14.7109375" style="20" customWidth="1"/>
    <col min="4621" max="4621" width="15.140625" style="20" customWidth="1"/>
    <col min="4622" max="4622" width="14.140625" style="20" customWidth="1"/>
    <col min="4623" max="4623" width="14.7109375" style="20" customWidth="1"/>
    <col min="4624" max="4624" width="14.42578125" style="20" customWidth="1"/>
    <col min="4625" max="4625" width="15" style="20" customWidth="1"/>
    <col min="4626" max="4626" width="14.5703125" style="20" customWidth="1"/>
    <col min="4627" max="4627" width="14.85546875" style="20" customWidth="1"/>
    <col min="4628" max="4628" width="15" style="20" customWidth="1"/>
    <col min="4629" max="4639" width="16.140625" style="20" customWidth="1"/>
    <col min="4640" max="4640" width="58.140625" style="20" customWidth="1"/>
    <col min="4641" max="4641" width="3.7109375" style="20" customWidth="1"/>
    <col min="4642" max="4642" width="18.85546875" style="20" customWidth="1"/>
    <col min="4643" max="4864" width="9.140625" style="20"/>
    <col min="4865" max="4865" width="51.42578125" style="20" customWidth="1"/>
    <col min="4866" max="4866" width="15.28515625" style="20" customWidth="1"/>
    <col min="4867" max="4867" width="17.140625" style="20" customWidth="1"/>
    <col min="4868" max="4868" width="13.85546875" style="20" customWidth="1"/>
    <col min="4869" max="4869" width="15.42578125" style="20" customWidth="1"/>
    <col min="4870" max="4871" width="13.42578125" style="20" customWidth="1"/>
    <col min="4872" max="4872" width="17.42578125" style="20" customWidth="1"/>
    <col min="4873" max="4873" width="14.7109375" style="20" customWidth="1"/>
    <col min="4874" max="4874" width="13.5703125" style="20" customWidth="1"/>
    <col min="4875" max="4875" width="15.140625" style="20" customWidth="1"/>
    <col min="4876" max="4876" width="14.7109375" style="20" customWidth="1"/>
    <col min="4877" max="4877" width="15.140625" style="20" customWidth="1"/>
    <col min="4878" max="4878" width="14.140625" style="20" customWidth="1"/>
    <col min="4879" max="4879" width="14.7109375" style="20" customWidth="1"/>
    <col min="4880" max="4880" width="14.42578125" style="20" customWidth="1"/>
    <col min="4881" max="4881" width="15" style="20" customWidth="1"/>
    <col min="4882" max="4882" width="14.5703125" style="20" customWidth="1"/>
    <col min="4883" max="4883" width="14.85546875" style="20" customWidth="1"/>
    <col min="4884" max="4884" width="15" style="20" customWidth="1"/>
    <col min="4885" max="4895" width="16.140625" style="20" customWidth="1"/>
    <col min="4896" max="4896" width="58.140625" style="20" customWidth="1"/>
    <col min="4897" max="4897" width="3.7109375" style="20" customWidth="1"/>
    <col min="4898" max="4898" width="18.85546875" style="20" customWidth="1"/>
    <col min="4899" max="5120" width="9.140625" style="20"/>
    <col min="5121" max="5121" width="51.42578125" style="20" customWidth="1"/>
    <col min="5122" max="5122" width="15.28515625" style="20" customWidth="1"/>
    <col min="5123" max="5123" width="17.140625" style="20" customWidth="1"/>
    <col min="5124" max="5124" width="13.85546875" style="20" customWidth="1"/>
    <col min="5125" max="5125" width="15.42578125" style="20" customWidth="1"/>
    <col min="5126" max="5127" width="13.42578125" style="20" customWidth="1"/>
    <col min="5128" max="5128" width="17.42578125" style="20" customWidth="1"/>
    <col min="5129" max="5129" width="14.7109375" style="20" customWidth="1"/>
    <col min="5130" max="5130" width="13.5703125" style="20" customWidth="1"/>
    <col min="5131" max="5131" width="15.140625" style="20" customWidth="1"/>
    <col min="5132" max="5132" width="14.7109375" style="20" customWidth="1"/>
    <col min="5133" max="5133" width="15.140625" style="20" customWidth="1"/>
    <col min="5134" max="5134" width="14.140625" style="20" customWidth="1"/>
    <col min="5135" max="5135" width="14.7109375" style="20" customWidth="1"/>
    <col min="5136" max="5136" width="14.42578125" style="20" customWidth="1"/>
    <col min="5137" max="5137" width="15" style="20" customWidth="1"/>
    <col min="5138" max="5138" width="14.5703125" style="20" customWidth="1"/>
    <col min="5139" max="5139" width="14.85546875" style="20" customWidth="1"/>
    <col min="5140" max="5140" width="15" style="20" customWidth="1"/>
    <col min="5141" max="5151" width="16.140625" style="20" customWidth="1"/>
    <col min="5152" max="5152" width="58.140625" style="20" customWidth="1"/>
    <col min="5153" max="5153" width="3.7109375" style="20" customWidth="1"/>
    <col min="5154" max="5154" width="18.85546875" style="20" customWidth="1"/>
    <col min="5155" max="5376" width="9.140625" style="20"/>
    <col min="5377" max="5377" width="51.42578125" style="20" customWidth="1"/>
    <col min="5378" max="5378" width="15.28515625" style="20" customWidth="1"/>
    <col min="5379" max="5379" width="17.140625" style="20" customWidth="1"/>
    <col min="5380" max="5380" width="13.85546875" style="20" customWidth="1"/>
    <col min="5381" max="5381" width="15.42578125" style="20" customWidth="1"/>
    <col min="5382" max="5383" width="13.42578125" style="20" customWidth="1"/>
    <col min="5384" max="5384" width="17.42578125" style="20" customWidth="1"/>
    <col min="5385" max="5385" width="14.7109375" style="20" customWidth="1"/>
    <col min="5386" max="5386" width="13.5703125" style="20" customWidth="1"/>
    <col min="5387" max="5387" width="15.140625" style="20" customWidth="1"/>
    <col min="5388" max="5388" width="14.7109375" style="20" customWidth="1"/>
    <col min="5389" max="5389" width="15.140625" style="20" customWidth="1"/>
    <col min="5390" max="5390" width="14.140625" style="20" customWidth="1"/>
    <col min="5391" max="5391" width="14.7109375" style="20" customWidth="1"/>
    <col min="5392" max="5392" width="14.42578125" style="20" customWidth="1"/>
    <col min="5393" max="5393" width="15" style="20" customWidth="1"/>
    <col min="5394" max="5394" width="14.5703125" style="20" customWidth="1"/>
    <col min="5395" max="5395" width="14.85546875" style="20" customWidth="1"/>
    <col min="5396" max="5396" width="15" style="20" customWidth="1"/>
    <col min="5397" max="5407" width="16.140625" style="20" customWidth="1"/>
    <col min="5408" max="5408" width="58.140625" style="20" customWidth="1"/>
    <col min="5409" max="5409" width="3.7109375" style="20" customWidth="1"/>
    <col min="5410" max="5410" width="18.85546875" style="20" customWidth="1"/>
    <col min="5411" max="5632" width="9.140625" style="20"/>
    <col min="5633" max="5633" width="51.42578125" style="20" customWidth="1"/>
    <col min="5634" max="5634" width="15.28515625" style="20" customWidth="1"/>
    <col min="5635" max="5635" width="17.140625" style="20" customWidth="1"/>
    <col min="5636" max="5636" width="13.85546875" style="20" customWidth="1"/>
    <col min="5637" max="5637" width="15.42578125" style="20" customWidth="1"/>
    <col min="5638" max="5639" width="13.42578125" style="20" customWidth="1"/>
    <col min="5640" max="5640" width="17.42578125" style="20" customWidth="1"/>
    <col min="5641" max="5641" width="14.7109375" style="20" customWidth="1"/>
    <col min="5642" max="5642" width="13.5703125" style="20" customWidth="1"/>
    <col min="5643" max="5643" width="15.140625" style="20" customWidth="1"/>
    <col min="5644" max="5644" width="14.7109375" style="20" customWidth="1"/>
    <col min="5645" max="5645" width="15.140625" style="20" customWidth="1"/>
    <col min="5646" max="5646" width="14.140625" style="20" customWidth="1"/>
    <col min="5647" max="5647" width="14.7109375" style="20" customWidth="1"/>
    <col min="5648" max="5648" width="14.42578125" style="20" customWidth="1"/>
    <col min="5649" max="5649" width="15" style="20" customWidth="1"/>
    <col min="5650" max="5650" width="14.5703125" style="20" customWidth="1"/>
    <col min="5651" max="5651" width="14.85546875" style="20" customWidth="1"/>
    <col min="5652" max="5652" width="15" style="20" customWidth="1"/>
    <col min="5653" max="5663" width="16.140625" style="20" customWidth="1"/>
    <col min="5664" max="5664" width="58.140625" style="20" customWidth="1"/>
    <col min="5665" max="5665" width="3.7109375" style="20" customWidth="1"/>
    <col min="5666" max="5666" width="18.85546875" style="20" customWidth="1"/>
    <col min="5667" max="5888" width="9.140625" style="20"/>
    <col min="5889" max="5889" width="51.42578125" style="20" customWidth="1"/>
    <col min="5890" max="5890" width="15.28515625" style="20" customWidth="1"/>
    <col min="5891" max="5891" width="17.140625" style="20" customWidth="1"/>
    <col min="5892" max="5892" width="13.85546875" style="20" customWidth="1"/>
    <col min="5893" max="5893" width="15.42578125" style="20" customWidth="1"/>
    <col min="5894" max="5895" width="13.42578125" style="20" customWidth="1"/>
    <col min="5896" max="5896" width="17.42578125" style="20" customWidth="1"/>
    <col min="5897" max="5897" width="14.7109375" style="20" customWidth="1"/>
    <col min="5898" max="5898" width="13.5703125" style="20" customWidth="1"/>
    <col min="5899" max="5899" width="15.140625" style="20" customWidth="1"/>
    <col min="5900" max="5900" width="14.7109375" style="20" customWidth="1"/>
    <col min="5901" max="5901" width="15.140625" style="20" customWidth="1"/>
    <col min="5902" max="5902" width="14.140625" style="20" customWidth="1"/>
    <col min="5903" max="5903" width="14.7109375" style="20" customWidth="1"/>
    <col min="5904" max="5904" width="14.42578125" style="20" customWidth="1"/>
    <col min="5905" max="5905" width="15" style="20" customWidth="1"/>
    <col min="5906" max="5906" width="14.5703125" style="20" customWidth="1"/>
    <col min="5907" max="5907" width="14.85546875" style="20" customWidth="1"/>
    <col min="5908" max="5908" width="15" style="20" customWidth="1"/>
    <col min="5909" max="5919" width="16.140625" style="20" customWidth="1"/>
    <col min="5920" max="5920" width="58.140625" style="20" customWidth="1"/>
    <col min="5921" max="5921" width="3.7109375" style="20" customWidth="1"/>
    <col min="5922" max="5922" width="18.85546875" style="20" customWidth="1"/>
    <col min="5923" max="6144" width="9.140625" style="20"/>
    <col min="6145" max="6145" width="51.42578125" style="20" customWidth="1"/>
    <col min="6146" max="6146" width="15.28515625" style="20" customWidth="1"/>
    <col min="6147" max="6147" width="17.140625" style="20" customWidth="1"/>
    <col min="6148" max="6148" width="13.85546875" style="20" customWidth="1"/>
    <col min="6149" max="6149" width="15.42578125" style="20" customWidth="1"/>
    <col min="6150" max="6151" width="13.42578125" style="20" customWidth="1"/>
    <col min="6152" max="6152" width="17.42578125" style="20" customWidth="1"/>
    <col min="6153" max="6153" width="14.7109375" style="20" customWidth="1"/>
    <col min="6154" max="6154" width="13.5703125" style="20" customWidth="1"/>
    <col min="6155" max="6155" width="15.140625" style="20" customWidth="1"/>
    <col min="6156" max="6156" width="14.7109375" style="20" customWidth="1"/>
    <col min="6157" max="6157" width="15.140625" style="20" customWidth="1"/>
    <col min="6158" max="6158" width="14.140625" style="20" customWidth="1"/>
    <col min="6159" max="6159" width="14.7109375" style="20" customWidth="1"/>
    <col min="6160" max="6160" width="14.42578125" style="20" customWidth="1"/>
    <col min="6161" max="6161" width="15" style="20" customWidth="1"/>
    <col min="6162" max="6162" width="14.5703125" style="20" customWidth="1"/>
    <col min="6163" max="6163" width="14.85546875" style="20" customWidth="1"/>
    <col min="6164" max="6164" width="15" style="20" customWidth="1"/>
    <col min="6165" max="6175" width="16.140625" style="20" customWidth="1"/>
    <col min="6176" max="6176" width="58.140625" style="20" customWidth="1"/>
    <col min="6177" max="6177" width="3.7109375" style="20" customWidth="1"/>
    <col min="6178" max="6178" width="18.85546875" style="20" customWidth="1"/>
    <col min="6179" max="6400" width="9.140625" style="20"/>
    <col min="6401" max="6401" width="51.42578125" style="20" customWidth="1"/>
    <col min="6402" max="6402" width="15.28515625" style="20" customWidth="1"/>
    <col min="6403" max="6403" width="17.140625" style="20" customWidth="1"/>
    <col min="6404" max="6404" width="13.85546875" style="20" customWidth="1"/>
    <col min="6405" max="6405" width="15.42578125" style="20" customWidth="1"/>
    <col min="6406" max="6407" width="13.42578125" style="20" customWidth="1"/>
    <col min="6408" max="6408" width="17.42578125" style="20" customWidth="1"/>
    <col min="6409" max="6409" width="14.7109375" style="20" customWidth="1"/>
    <col min="6410" max="6410" width="13.5703125" style="20" customWidth="1"/>
    <col min="6411" max="6411" width="15.140625" style="20" customWidth="1"/>
    <col min="6412" max="6412" width="14.7109375" style="20" customWidth="1"/>
    <col min="6413" max="6413" width="15.140625" style="20" customWidth="1"/>
    <col min="6414" max="6414" width="14.140625" style="20" customWidth="1"/>
    <col min="6415" max="6415" width="14.7109375" style="20" customWidth="1"/>
    <col min="6416" max="6416" width="14.42578125" style="20" customWidth="1"/>
    <col min="6417" max="6417" width="15" style="20" customWidth="1"/>
    <col min="6418" max="6418" width="14.5703125" style="20" customWidth="1"/>
    <col min="6419" max="6419" width="14.85546875" style="20" customWidth="1"/>
    <col min="6420" max="6420" width="15" style="20" customWidth="1"/>
    <col min="6421" max="6431" width="16.140625" style="20" customWidth="1"/>
    <col min="6432" max="6432" width="58.140625" style="20" customWidth="1"/>
    <col min="6433" max="6433" width="3.7109375" style="20" customWidth="1"/>
    <col min="6434" max="6434" width="18.85546875" style="20" customWidth="1"/>
    <col min="6435" max="6656" width="9.140625" style="20"/>
    <col min="6657" max="6657" width="51.42578125" style="20" customWidth="1"/>
    <col min="6658" max="6658" width="15.28515625" style="20" customWidth="1"/>
    <col min="6659" max="6659" width="17.140625" style="20" customWidth="1"/>
    <col min="6660" max="6660" width="13.85546875" style="20" customWidth="1"/>
    <col min="6661" max="6661" width="15.42578125" style="20" customWidth="1"/>
    <col min="6662" max="6663" width="13.42578125" style="20" customWidth="1"/>
    <col min="6664" max="6664" width="17.42578125" style="20" customWidth="1"/>
    <col min="6665" max="6665" width="14.7109375" style="20" customWidth="1"/>
    <col min="6666" max="6666" width="13.5703125" style="20" customWidth="1"/>
    <col min="6667" max="6667" width="15.140625" style="20" customWidth="1"/>
    <col min="6668" max="6668" width="14.7109375" style="20" customWidth="1"/>
    <col min="6669" max="6669" width="15.140625" style="20" customWidth="1"/>
    <col min="6670" max="6670" width="14.140625" style="20" customWidth="1"/>
    <col min="6671" max="6671" width="14.7109375" style="20" customWidth="1"/>
    <col min="6672" max="6672" width="14.42578125" style="20" customWidth="1"/>
    <col min="6673" max="6673" width="15" style="20" customWidth="1"/>
    <col min="6674" max="6674" width="14.5703125" style="20" customWidth="1"/>
    <col min="6675" max="6675" width="14.85546875" style="20" customWidth="1"/>
    <col min="6676" max="6676" width="15" style="20" customWidth="1"/>
    <col min="6677" max="6687" width="16.140625" style="20" customWidth="1"/>
    <col min="6688" max="6688" width="58.140625" style="20" customWidth="1"/>
    <col min="6689" max="6689" width="3.7109375" style="20" customWidth="1"/>
    <col min="6690" max="6690" width="18.85546875" style="20" customWidth="1"/>
    <col min="6691" max="6912" width="9.140625" style="20"/>
    <col min="6913" max="6913" width="51.42578125" style="20" customWidth="1"/>
    <col min="6914" max="6914" width="15.28515625" style="20" customWidth="1"/>
    <col min="6915" max="6915" width="17.140625" style="20" customWidth="1"/>
    <col min="6916" max="6916" width="13.85546875" style="20" customWidth="1"/>
    <col min="6917" max="6917" width="15.42578125" style="20" customWidth="1"/>
    <col min="6918" max="6919" width="13.42578125" style="20" customWidth="1"/>
    <col min="6920" max="6920" width="17.42578125" style="20" customWidth="1"/>
    <col min="6921" max="6921" width="14.7109375" style="20" customWidth="1"/>
    <col min="6922" max="6922" width="13.5703125" style="20" customWidth="1"/>
    <col min="6923" max="6923" width="15.140625" style="20" customWidth="1"/>
    <col min="6924" max="6924" width="14.7109375" style="20" customWidth="1"/>
    <col min="6925" max="6925" width="15.140625" style="20" customWidth="1"/>
    <col min="6926" max="6926" width="14.140625" style="20" customWidth="1"/>
    <col min="6927" max="6927" width="14.7109375" style="20" customWidth="1"/>
    <col min="6928" max="6928" width="14.42578125" style="20" customWidth="1"/>
    <col min="6929" max="6929" width="15" style="20" customWidth="1"/>
    <col min="6930" max="6930" width="14.5703125" style="20" customWidth="1"/>
    <col min="6931" max="6931" width="14.85546875" style="20" customWidth="1"/>
    <col min="6932" max="6932" width="15" style="20" customWidth="1"/>
    <col min="6933" max="6943" width="16.140625" style="20" customWidth="1"/>
    <col min="6944" max="6944" width="58.140625" style="20" customWidth="1"/>
    <col min="6945" max="6945" width="3.7109375" style="20" customWidth="1"/>
    <col min="6946" max="6946" width="18.85546875" style="20" customWidth="1"/>
    <col min="6947" max="7168" width="9.140625" style="20"/>
    <col min="7169" max="7169" width="51.42578125" style="20" customWidth="1"/>
    <col min="7170" max="7170" width="15.28515625" style="20" customWidth="1"/>
    <col min="7171" max="7171" width="17.140625" style="20" customWidth="1"/>
    <col min="7172" max="7172" width="13.85546875" style="20" customWidth="1"/>
    <col min="7173" max="7173" width="15.42578125" style="20" customWidth="1"/>
    <col min="7174" max="7175" width="13.42578125" style="20" customWidth="1"/>
    <col min="7176" max="7176" width="17.42578125" style="20" customWidth="1"/>
    <col min="7177" max="7177" width="14.7109375" style="20" customWidth="1"/>
    <col min="7178" max="7178" width="13.5703125" style="20" customWidth="1"/>
    <col min="7179" max="7179" width="15.140625" style="20" customWidth="1"/>
    <col min="7180" max="7180" width="14.7109375" style="20" customWidth="1"/>
    <col min="7181" max="7181" width="15.140625" style="20" customWidth="1"/>
    <col min="7182" max="7182" width="14.140625" style="20" customWidth="1"/>
    <col min="7183" max="7183" width="14.7109375" style="20" customWidth="1"/>
    <col min="7184" max="7184" width="14.42578125" style="20" customWidth="1"/>
    <col min="7185" max="7185" width="15" style="20" customWidth="1"/>
    <col min="7186" max="7186" width="14.5703125" style="20" customWidth="1"/>
    <col min="7187" max="7187" width="14.85546875" style="20" customWidth="1"/>
    <col min="7188" max="7188" width="15" style="20" customWidth="1"/>
    <col min="7189" max="7199" width="16.140625" style="20" customWidth="1"/>
    <col min="7200" max="7200" width="58.140625" style="20" customWidth="1"/>
    <col min="7201" max="7201" width="3.7109375" style="20" customWidth="1"/>
    <col min="7202" max="7202" width="18.85546875" style="20" customWidth="1"/>
    <col min="7203" max="7424" width="9.140625" style="20"/>
    <col min="7425" max="7425" width="51.42578125" style="20" customWidth="1"/>
    <col min="7426" max="7426" width="15.28515625" style="20" customWidth="1"/>
    <col min="7427" max="7427" width="17.140625" style="20" customWidth="1"/>
    <col min="7428" max="7428" width="13.85546875" style="20" customWidth="1"/>
    <col min="7429" max="7429" width="15.42578125" style="20" customWidth="1"/>
    <col min="7430" max="7431" width="13.42578125" style="20" customWidth="1"/>
    <col min="7432" max="7432" width="17.42578125" style="20" customWidth="1"/>
    <col min="7433" max="7433" width="14.7109375" style="20" customWidth="1"/>
    <col min="7434" max="7434" width="13.5703125" style="20" customWidth="1"/>
    <col min="7435" max="7435" width="15.140625" style="20" customWidth="1"/>
    <col min="7436" max="7436" width="14.7109375" style="20" customWidth="1"/>
    <col min="7437" max="7437" width="15.140625" style="20" customWidth="1"/>
    <col min="7438" max="7438" width="14.140625" style="20" customWidth="1"/>
    <col min="7439" max="7439" width="14.7109375" style="20" customWidth="1"/>
    <col min="7440" max="7440" width="14.42578125" style="20" customWidth="1"/>
    <col min="7441" max="7441" width="15" style="20" customWidth="1"/>
    <col min="7442" max="7442" width="14.5703125" style="20" customWidth="1"/>
    <col min="7443" max="7443" width="14.85546875" style="20" customWidth="1"/>
    <col min="7444" max="7444" width="15" style="20" customWidth="1"/>
    <col min="7445" max="7455" width="16.140625" style="20" customWidth="1"/>
    <col min="7456" max="7456" width="58.140625" style="20" customWidth="1"/>
    <col min="7457" max="7457" width="3.7109375" style="20" customWidth="1"/>
    <col min="7458" max="7458" width="18.85546875" style="20" customWidth="1"/>
    <col min="7459" max="7680" width="9.140625" style="20"/>
    <col min="7681" max="7681" width="51.42578125" style="20" customWidth="1"/>
    <col min="7682" max="7682" width="15.28515625" style="20" customWidth="1"/>
    <col min="7683" max="7683" width="17.140625" style="20" customWidth="1"/>
    <col min="7684" max="7684" width="13.85546875" style="20" customWidth="1"/>
    <col min="7685" max="7685" width="15.42578125" style="20" customWidth="1"/>
    <col min="7686" max="7687" width="13.42578125" style="20" customWidth="1"/>
    <col min="7688" max="7688" width="17.42578125" style="20" customWidth="1"/>
    <col min="7689" max="7689" width="14.7109375" style="20" customWidth="1"/>
    <col min="7690" max="7690" width="13.5703125" style="20" customWidth="1"/>
    <col min="7691" max="7691" width="15.140625" style="20" customWidth="1"/>
    <col min="7692" max="7692" width="14.7109375" style="20" customWidth="1"/>
    <col min="7693" max="7693" width="15.140625" style="20" customWidth="1"/>
    <col min="7694" max="7694" width="14.140625" style="20" customWidth="1"/>
    <col min="7695" max="7695" width="14.7109375" style="20" customWidth="1"/>
    <col min="7696" max="7696" width="14.42578125" style="20" customWidth="1"/>
    <col min="7697" max="7697" width="15" style="20" customWidth="1"/>
    <col min="7698" max="7698" width="14.5703125" style="20" customWidth="1"/>
    <col min="7699" max="7699" width="14.85546875" style="20" customWidth="1"/>
    <col min="7700" max="7700" width="15" style="20" customWidth="1"/>
    <col min="7701" max="7711" width="16.140625" style="20" customWidth="1"/>
    <col min="7712" max="7712" width="58.140625" style="20" customWidth="1"/>
    <col min="7713" max="7713" width="3.7109375" style="20" customWidth="1"/>
    <col min="7714" max="7714" width="18.85546875" style="20" customWidth="1"/>
    <col min="7715" max="7936" width="9.140625" style="20"/>
    <col min="7937" max="7937" width="51.42578125" style="20" customWidth="1"/>
    <col min="7938" max="7938" width="15.28515625" style="20" customWidth="1"/>
    <col min="7939" max="7939" width="17.140625" style="20" customWidth="1"/>
    <col min="7940" max="7940" width="13.85546875" style="20" customWidth="1"/>
    <col min="7941" max="7941" width="15.42578125" style="20" customWidth="1"/>
    <col min="7942" max="7943" width="13.42578125" style="20" customWidth="1"/>
    <col min="7944" max="7944" width="17.42578125" style="20" customWidth="1"/>
    <col min="7945" max="7945" width="14.7109375" style="20" customWidth="1"/>
    <col min="7946" max="7946" width="13.5703125" style="20" customWidth="1"/>
    <col min="7947" max="7947" width="15.140625" style="20" customWidth="1"/>
    <col min="7948" max="7948" width="14.7109375" style="20" customWidth="1"/>
    <col min="7949" max="7949" width="15.140625" style="20" customWidth="1"/>
    <col min="7950" max="7950" width="14.140625" style="20" customWidth="1"/>
    <col min="7951" max="7951" width="14.7109375" style="20" customWidth="1"/>
    <col min="7952" max="7952" width="14.42578125" style="20" customWidth="1"/>
    <col min="7953" max="7953" width="15" style="20" customWidth="1"/>
    <col min="7954" max="7954" width="14.5703125" style="20" customWidth="1"/>
    <col min="7955" max="7955" width="14.85546875" style="20" customWidth="1"/>
    <col min="7956" max="7956" width="15" style="20" customWidth="1"/>
    <col min="7957" max="7967" width="16.140625" style="20" customWidth="1"/>
    <col min="7968" max="7968" width="58.140625" style="20" customWidth="1"/>
    <col min="7969" max="7969" width="3.7109375" style="20" customWidth="1"/>
    <col min="7970" max="7970" width="18.85546875" style="20" customWidth="1"/>
    <col min="7971" max="8192" width="9.140625" style="20"/>
    <col min="8193" max="8193" width="51.42578125" style="20" customWidth="1"/>
    <col min="8194" max="8194" width="15.28515625" style="20" customWidth="1"/>
    <col min="8195" max="8195" width="17.140625" style="20" customWidth="1"/>
    <col min="8196" max="8196" width="13.85546875" style="20" customWidth="1"/>
    <col min="8197" max="8197" width="15.42578125" style="20" customWidth="1"/>
    <col min="8198" max="8199" width="13.42578125" style="20" customWidth="1"/>
    <col min="8200" max="8200" width="17.42578125" style="20" customWidth="1"/>
    <col min="8201" max="8201" width="14.7109375" style="20" customWidth="1"/>
    <col min="8202" max="8202" width="13.5703125" style="20" customWidth="1"/>
    <col min="8203" max="8203" width="15.140625" style="20" customWidth="1"/>
    <col min="8204" max="8204" width="14.7109375" style="20" customWidth="1"/>
    <col min="8205" max="8205" width="15.140625" style="20" customWidth="1"/>
    <col min="8206" max="8206" width="14.140625" style="20" customWidth="1"/>
    <col min="8207" max="8207" width="14.7109375" style="20" customWidth="1"/>
    <col min="8208" max="8208" width="14.42578125" style="20" customWidth="1"/>
    <col min="8209" max="8209" width="15" style="20" customWidth="1"/>
    <col min="8210" max="8210" width="14.5703125" style="20" customWidth="1"/>
    <col min="8211" max="8211" width="14.85546875" style="20" customWidth="1"/>
    <col min="8212" max="8212" width="15" style="20" customWidth="1"/>
    <col min="8213" max="8223" width="16.140625" style="20" customWidth="1"/>
    <col min="8224" max="8224" width="58.140625" style="20" customWidth="1"/>
    <col min="8225" max="8225" width="3.7109375" style="20" customWidth="1"/>
    <col min="8226" max="8226" width="18.85546875" style="20" customWidth="1"/>
    <col min="8227" max="8448" width="9.140625" style="20"/>
    <col min="8449" max="8449" width="51.42578125" style="20" customWidth="1"/>
    <col min="8450" max="8450" width="15.28515625" style="20" customWidth="1"/>
    <col min="8451" max="8451" width="17.140625" style="20" customWidth="1"/>
    <col min="8452" max="8452" width="13.85546875" style="20" customWidth="1"/>
    <col min="8453" max="8453" width="15.42578125" style="20" customWidth="1"/>
    <col min="8454" max="8455" width="13.42578125" style="20" customWidth="1"/>
    <col min="8456" max="8456" width="17.42578125" style="20" customWidth="1"/>
    <col min="8457" max="8457" width="14.7109375" style="20" customWidth="1"/>
    <col min="8458" max="8458" width="13.5703125" style="20" customWidth="1"/>
    <col min="8459" max="8459" width="15.140625" style="20" customWidth="1"/>
    <col min="8460" max="8460" width="14.7109375" style="20" customWidth="1"/>
    <col min="8461" max="8461" width="15.140625" style="20" customWidth="1"/>
    <col min="8462" max="8462" width="14.140625" style="20" customWidth="1"/>
    <col min="8463" max="8463" width="14.7109375" style="20" customWidth="1"/>
    <col min="8464" max="8464" width="14.42578125" style="20" customWidth="1"/>
    <col min="8465" max="8465" width="15" style="20" customWidth="1"/>
    <col min="8466" max="8466" width="14.5703125" style="20" customWidth="1"/>
    <col min="8467" max="8467" width="14.85546875" style="20" customWidth="1"/>
    <col min="8468" max="8468" width="15" style="20" customWidth="1"/>
    <col min="8469" max="8479" width="16.140625" style="20" customWidth="1"/>
    <col min="8480" max="8480" width="58.140625" style="20" customWidth="1"/>
    <col min="8481" max="8481" width="3.7109375" style="20" customWidth="1"/>
    <col min="8482" max="8482" width="18.85546875" style="20" customWidth="1"/>
    <col min="8483" max="8704" width="9.140625" style="20"/>
    <col min="8705" max="8705" width="51.42578125" style="20" customWidth="1"/>
    <col min="8706" max="8706" width="15.28515625" style="20" customWidth="1"/>
    <col min="8707" max="8707" width="17.140625" style="20" customWidth="1"/>
    <col min="8708" max="8708" width="13.85546875" style="20" customWidth="1"/>
    <col min="8709" max="8709" width="15.42578125" style="20" customWidth="1"/>
    <col min="8710" max="8711" width="13.42578125" style="20" customWidth="1"/>
    <col min="8712" max="8712" width="17.42578125" style="20" customWidth="1"/>
    <col min="8713" max="8713" width="14.7109375" style="20" customWidth="1"/>
    <col min="8714" max="8714" width="13.5703125" style="20" customWidth="1"/>
    <col min="8715" max="8715" width="15.140625" style="20" customWidth="1"/>
    <col min="8716" max="8716" width="14.7109375" style="20" customWidth="1"/>
    <col min="8717" max="8717" width="15.140625" style="20" customWidth="1"/>
    <col min="8718" max="8718" width="14.140625" style="20" customWidth="1"/>
    <col min="8719" max="8719" width="14.7109375" style="20" customWidth="1"/>
    <col min="8720" max="8720" width="14.42578125" style="20" customWidth="1"/>
    <col min="8721" max="8721" width="15" style="20" customWidth="1"/>
    <col min="8722" max="8722" width="14.5703125" style="20" customWidth="1"/>
    <col min="8723" max="8723" width="14.85546875" style="20" customWidth="1"/>
    <col min="8724" max="8724" width="15" style="20" customWidth="1"/>
    <col min="8725" max="8735" width="16.140625" style="20" customWidth="1"/>
    <col min="8736" max="8736" width="58.140625" style="20" customWidth="1"/>
    <col min="8737" max="8737" width="3.7109375" style="20" customWidth="1"/>
    <col min="8738" max="8738" width="18.85546875" style="20" customWidth="1"/>
    <col min="8739" max="8960" width="9.140625" style="20"/>
    <col min="8961" max="8961" width="51.42578125" style="20" customWidth="1"/>
    <col min="8962" max="8962" width="15.28515625" style="20" customWidth="1"/>
    <col min="8963" max="8963" width="17.140625" style="20" customWidth="1"/>
    <col min="8964" max="8964" width="13.85546875" style="20" customWidth="1"/>
    <col min="8965" max="8965" width="15.42578125" style="20" customWidth="1"/>
    <col min="8966" max="8967" width="13.42578125" style="20" customWidth="1"/>
    <col min="8968" max="8968" width="17.42578125" style="20" customWidth="1"/>
    <col min="8969" max="8969" width="14.7109375" style="20" customWidth="1"/>
    <col min="8970" max="8970" width="13.5703125" style="20" customWidth="1"/>
    <col min="8971" max="8971" width="15.140625" style="20" customWidth="1"/>
    <col min="8972" max="8972" width="14.7109375" style="20" customWidth="1"/>
    <col min="8973" max="8973" width="15.140625" style="20" customWidth="1"/>
    <col min="8974" max="8974" width="14.140625" style="20" customWidth="1"/>
    <col min="8975" max="8975" width="14.7109375" style="20" customWidth="1"/>
    <col min="8976" max="8976" width="14.42578125" style="20" customWidth="1"/>
    <col min="8977" max="8977" width="15" style="20" customWidth="1"/>
    <col min="8978" max="8978" width="14.5703125" style="20" customWidth="1"/>
    <col min="8979" max="8979" width="14.85546875" style="20" customWidth="1"/>
    <col min="8980" max="8980" width="15" style="20" customWidth="1"/>
    <col min="8981" max="8991" width="16.140625" style="20" customWidth="1"/>
    <col min="8992" max="8992" width="58.140625" style="20" customWidth="1"/>
    <col min="8993" max="8993" width="3.7109375" style="20" customWidth="1"/>
    <col min="8994" max="8994" width="18.85546875" style="20" customWidth="1"/>
    <col min="8995" max="9216" width="9.140625" style="20"/>
    <col min="9217" max="9217" width="51.42578125" style="20" customWidth="1"/>
    <col min="9218" max="9218" width="15.28515625" style="20" customWidth="1"/>
    <col min="9219" max="9219" width="17.140625" style="20" customWidth="1"/>
    <col min="9220" max="9220" width="13.85546875" style="20" customWidth="1"/>
    <col min="9221" max="9221" width="15.42578125" style="20" customWidth="1"/>
    <col min="9222" max="9223" width="13.42578125" style="20" customWidth="1"/>
    <col min="9224" max="9224" width="17.42578125" style="20" customWidth="1"/>
    <col min="9225" max="9225" width="14.7109375" style="20" customWidth="1"/>
    <col min="9226" max="9226" width="13.5703125" style="20" customWidth="1"/>
    <col min="9227" max="9227" width="15.140625" style="20" customWidth="1"/>
    <col min="9228" max="9228" width="14.7109375" style="20" customWidth="1"/>
    <col min="9229" max="9229" width="15.140625" style="20" customWidth="1"/>
    <col min="9230" max="9230" width="14.140625" style="20" customWidth="1"/>
    <col min="9231" max="9231" width="14.7109375" style="20" customWidth="1"/>
    <col min="9232" max="9232" width="14.42578125" style="20" customWidth="1"/>
    <col min="9233" max="9233" width="15" style="20" customWidth="1"/>
    <col min="9234" max="9234" width="14.5703125" style="20" customWidth="1"/>
    <col min="9235" max="9235" width="14.85546875" style="20" customWidth="1"/>
    <col min="9236" max="9236" width="15" style="20" customWidth="1"/>
    <col min="9237" max="9247" width="16.140625" style="20" customWidth="1"/>
    <col min="9248" max="9248" width="58.140625" style="20" customWidth="1"/>
    <col min="9249" max="9249" width="3.7109375" style="20" customWidth="1"/>
    <col min="9250" max="9250" width="18.85546875" style="20" customWidth="1"/>
    <col min="9251" max="9472" width="9.140625" style="20"/>
    <col min="9473" max="9473" width="51.42578125" style="20" customWidth="1"/>
    <col min="9474" max="9474" width="15.28515625" style="20" customWidth="1"/>
    <col min="9475" max="9475" width="17.140625" style="20" customWidth="1"/>
    <col min="9476" max="9476" width="13.85546875" style="20" customWidth="1"/>
    <col min="9477" max="9477" width="15.42578125" style="20" customWidth="1"/>
    <col min="9478" max="9479" width="13.42578125" style="20" customWidth="1"/>
    <col min="9480" max="9480" width="17.42578125" style="20" customWidth="1"/>
    <col min="9481" max="9481" width="14.7109375" style="20" customWidth="1"/>
    <col min="9482" max="9482" width="13.5703125" style="20" customWidth="1"/>
    <col min="9483" max="9483" width="15.140625" style="20" customWidth="1"/>
    <col min="9484" max="9484" width="14.7109375" style="20" customWidth="1"/>
    <col min="9485" max="9485" width="15.140625" style="20" customWidth="1"/>
    <col min="9486" max="9486" width="14.140625" style="20" customWidth="1"/>
    <col min="9487" max="9487" width="14.7109375" style="20" customWidth="1"/>
    <col min="9488" max="9488" width="14.42578125" style="20" customWidth="1"/>
    <col min="9489" max="9489" width="15" style="20" customWidth="1"/>
    <col min="9490" max="9490" width="14.5703125" style="20" customWidth="1"/>
    <col min="9491" max="9491" width="14.85546875" style="20" customWidth="1"/>
    <col min="9492" max="9492" width="15" style="20" customWidth="1"/>
    <col min="9493" max="9503" width="16.140625" style="20" customWidth="1"/>
    <col min="9504" max="9504" width="58.140625" style="20" customWidth="1"/>
    <col min="9505" max="9505" width="3.7109375" style="20" customWidth="1"/>
    <col min="9506" max="9506" width="18.85546875" style="20" customWidth="1"/>
    <col min="9507" max="9728" width="9.140625" style="20"/>
    <col min="9729" max="9729" width="51.42578125" style="20" customWidth="1"/>
    <col min="9730" max="9730" width="15.28515625" style="20" customWidth="1"/>
    <col min="9731" max="9731" width="17.140625" style="20" customWidth="1"/>
    <col min="9732" max="9732" width="13.85546875" style="20" customWidth="1"/>
    <col min="9733" max="9733" width="15.42578125" style="20" customWidth="1"/>
    <col min="9734" max="9735" width="13.42578125" style="20" customWidth="1"/>
    <col min="9736" max="9736" width="17.42578125" style="20" customWidth="1"/>
    <col min="9737" max="9737" width="14.7109375" style="20" customWidth="1"/>
    <col min="9738" max="9738" width="13.5703125" style="20" customWidth="1"/>
    <col min="9739" max="9739" width="15.140625" style="20" customWidth="1"/>
    <col min="9740" max="9740" width="14.7109375" style="20" customWidth="1"/>
    <col min="9741" max="9741" width="15.140625" style="20" customWidth="1"/>
    <col min="9742" max="9742" width="14.140625" style="20" customWidth="1"/>
    <col min="9743" max="9743" width="14.7109375" style="20" customWidth="1"/>
    <col min="9744" max="9744" width="14.42578125" style="20" customWidth="1"/>
    <col min="9745" max="9745" width="15" style="20" customWidth="1"/>
    <col min="9746" max="9746" width="14.5703125" style="20" customWidth="1"/>
    <col min="9747" max="9747" width="14.85546875" style="20" customWidth="1"/>
    <col min="9748" max="9748" width="15" style="20" customWidth="1"/>
    <col min="9749" max="9759" width="16.140625" style="20" customWidth="1"/>
    <col min="9760" max="9760" width="58.140625" style="20" customWidth="1"/>
    <col min="9761" max="9761" width="3.7109375" style="20" customWidth="1"/>
    <col min="9762" max="9762" width="18.85546875" style="20" customWidth="1"/>
    <col min="9763" max="9984" width="9.140625" style="20"/>
    <col min="9985" max="9985" width="51.42578125" style="20" customWidth="1"/>
    <col min="9986" max="9986" width="15.28515625" style="20" customWidth="1"/>
    <col min="9987" max="9987" width="17.140625" style="20" customWidth="1"/>
    <col min="9988" max="9988" width="13.85546875" style="20" customWidth="1"/>
    <col min="9989" max="9989" width="15.42578125" style="20" customWidth="1"/>
    <col min="9990" max="9991" width="13.42578125" style="20" customWidth="1"/>
    <col min="9992" max="9992" width="17.42578125" style="20" customWidth="1"/>
    <col min="9993" max="9993" width="14.7109375" style="20" customWidth="1"/>
    <col min="9994" max="9994" width="13.5703125" style="20" customWidth="1"/>
    <col min="9995" max="9995" width="15.140625" style="20" customWidth="1"/>
    <col min="9996" max="9996" width="14.7109375" style="20" customWidth="1"/>
    <col min="9997" max="9997" width="15.140625" style="20" customWidth="1"/>
    <col min="9998" max="9998" width="14.140625" style="20" customWidth="1"/>
    <col min="9999" max="9999" width="14.7109375" style="20" customWidth="1"/>
    <col min="10000" max="10000" width="14.42578125" style="20" customWidth="1"/>
    <col min="10001" max="10001" width="15" style="20" customWidth="1"/>
    <col min="10002" max="10002" width="14.5703125" style="20" customWidth="1"/>
    <col min="10003" max="10003" width="14.85546875" style="20" customWidth="1"/>
    <col min="10004" max="10004" width="15" style="20" customWidth="1"/>
    <col min="10005" max="10015" width="16.140625" style="20" customWidth="1"/>
    <col min="10016" max="10016" width="58.140625" style="20" customWidth="1"/>
    <col min="10017" max="10017" width="3.7109375" style="20" customWidth="1"/>
    <col min="10018" max="10018" width="18.85546875" style="20" customWidth="1"/>
    <col min="10019" max="10240" width="9.140625" style="20"/>
    <col min="10241" max="10241" width="51.42578125" style="20" customWidth="1"/>
    <col min="10242" max="10242" width="15.28515625" style="20" customWidth="1"/>
    <col min="10243" max="10243" width="17.140625" style="20" customWidth="1"/>
    <col min="10244" max="10244" width="13.85546875" style="20" customWidth="1"/>
    <col min="10245" max="10245" width="15.42578125" style="20" customWidth="1"/>
    <col min="10246" max="10247" width="13.42578125" style="20" customWidth="1"/>
    <col min="10248" max="10248" width="17.42578125" style="20" customWidth="1"/>
    <col min="10249" max="10249" width="14.7109375" style="20" customWidth="1"/>
    <col min="10250" max="10250" width="13.5703125" style="20" customWidth="1"/>
    <col min="10251" max="10251" width="15.140625" style="20" customWidth="1"/>
    <col min="10252" max="10252" width="14.7109375" style="20" customWidth="1"/>
    <col min="10253" max="10253" width="15.140625" style="20" customWidth="1"/>
    <col min="10254" max="10254" width="14.140625" style="20" customWidth="1"/>
    <col min="10255" max="10255" width="14.7109375" style="20" customWidth="1"/>
    <col min="10256" max="10256" width="14.42578125" style="20" customWidth="1"/>
    <col min="10257" max="10257" width="15" style="20" customWidth="1"/>
    <col min="10258" max="10258" width="14.5703125" style="20" customWidth="1"/>
    <col min="10259" max="10259" width="14.85546875" style="20" customWidth="1"/>
    <col min="10260" max="10260" width="15" style="20" customWidth="1"/>
    <col min="10261" max="10271" width="16.140625" style="20" customWidth="1"/>
    <col min="10272" max="10272" width="58.140625" style="20" customWidth="1"/>
    <col min="10273" max="10273" width="3.7109375" style="20" customWidth="1"/>
    <col min="10274" max="10274" width="18.85546875" style="20" customWidth="1"/>
    <col min="10275" max="10496" width="9.140625" style="20"/>
    <col min="10497" max="10497" width="51.42578125" style="20" customWidth="1"/>
    <col min="10498" max="10498" width="15.28515625" style="20" customWidth="1"/>
    <col min="10499" max="10499" width="17.140625" style="20" customWidth="1"/>
    <col min="10500" max="10500" width="13.85546875" style="20" customWidth="1"/>
    <col min="10501" max="10501" width="15.42578125" style="20" customWidth="1"/>
    <col min="10502" max="10503" width="13.42578125" style="20" customWidth="1"/>
    <col min="10504" max="10504" width="17.42578125" style="20" customWidth="1"/>
    <col min="10505" max="10505" width="14.7109375" style="20" customWidth="1"/>
    <col min="10506" max="10506" width="13.5703125" style="20" customWidth="1"/>
    <col min="10507" max="10507" width="15.140625" style="20" customWidth="1"/>
    <col min="10508" max="10508" width="14.7109375" style="20" customWidth="1"/>
    <col min="10509" max="10509" width="15.140625" style="20" customWidth="1"/>
    <col min="10510" max="10510" width="14.140625" style="20" customWidth="1"/>
    <col min="10511" max="10511" width="14.7109375" style="20" customWidth="1"/>
    <col min="10512" max="10512" width="14.42578125" style="20" customWidth="1"/>
    <col min="10513" max="10513" width="15" style="20" customWidth="1"/>
    <col min="10514" max="10514" width="14.5703125" style="20" customWidth="1"/>
    <col min="10515" max="10515" width="14.85546875" style="20" customWidth="1"/>
    <col min="10516" max="10516" width="15" style="20" customWidth="1"/>
    <col min="10517" max="10527" width="16.140625" style="20" customWidth="1"/>
    <col min="10528" max="10528" width="58.140625" style="20" customWidth="1"/>
    <col min="10529" max="10529" width="3.7109375" style="20" customWidth="1"/>
    <col min="10530" max="10530" width="18.85546875" style="20" customWidth="1"/>
    <col min="10531" max="10752" width="9.140625" style="20"/>
    <col min="10753" max="10753" width="51.42578125" style="20" customWidth="1"/>
    <col min="10754" max="10754" width="15.28515625" style="20" customWidth="1"/>
    <col min="10755" max="10755" width="17.140625" style="20" customWidth="1"/>
    <col min="10756" max="10756" width="13.85546875" style="20" customWidth="1"/>
    <col min="10757" max="10757" width="15.42578125" style="20" customWidth="1"/>
    <col min="10758" max="10759" width="13.42578125" style="20" customWidth="1"/>
    <col min="10760" max="10760" width="17.42578125" style="20" customWidth="1"/>
    <col min="10761" max="10761" width="14.7109375" style="20" customWidth="1"/>
    <col min="10762" max="10762" width="13.5703125" style="20" customWidth="1"/>
    <col min="10763" max="10763" width="15.140625" style="20" customWidth="1"/>
    <col min="10764" max="10764" width="14.7109375" style="20" customWidth="1"/>
    <col min="10765" max="10765" width="15.140625" style="20" customWidth="1"/>
    <col min="10766" max="10766" width="14.140625" style="20" customWidth="1"/>
    <col min="10767" max="10767" width="14.7109375" style="20" customWidth="1"/>
    <col min="10768" max="10768" width="14.42578125" style="20" customWidth="1"/>
    <col min="10769" max="10769" width="15" style="20" customWidth="1"/>
    <col min="10770" max="10770" width="14.5703125" style="20" customWidth="1"/>
    <col min="10771" max="10771" width="14.85546875" style="20" customWidth="1"/>
    <col min="10772" max="10772" width="15" style="20" customWidth="1"/>
    <col min="10773" max="10783" width="16.140625" style="20" customWidth="1"/>
    <col min="10784" max="10784" width="58.140625" style="20" customWidth="1"/>
    <col min="10785" max="10785" width="3.7109375" style="20" customWidth="1"/>
    <col min="10786" max="10786" width="18.85546875" style="20" customWidth="1"/>
    <col min="10787" max="11008" width="9.140625" style="20"/>
    <col min="11009" max="11009" width="51.42578125" style="20" customWidth="1"/>
    <col min="11010" max="11010" width="15.28515625" style="20" customWidth="1"/>
    <col min="11011" max="11011" width="17.140625" style="20" customWidth="1"/>
    <col min="11012" max="11012" width="13.85546875" style="20" customWidth="1"/>
    <col min="11013" max="11013" width="15.42578125" style="20" customWidth="1"/>
    <col min="11014" max="11015" width="13.42578125" style="20" customWidth="1"/>
    <col min="11016" max="11016" width="17.42578125" style="20" customWidth="1"/>
    <col min="11017" max="11017" width="14.7109375" style="20" customWidth="1"/>
    <col min="11018" max="11018" width="13.5703125" style="20" customWidth="1"/>
    <col min="11019" max="11019" width="15.140625" style="20" customWidth="1"/>
    <col min="11020" max="11020" width="14.7109375" style="20" customWidth="1"/>
    <col min="11021" max="11021" width="15.140625" style="20" customWidth="1"/>
    <col min="11022" max="11022" width="14.140625" style="20" customWidth="1"/>
    <col min="11023" max="11023" width="14.7109375" style="20" customWidth="1"/>
    <col min="11024" max="11024" width="14.42578125" style="20" customWidth="1"/>
    <col min="11025" max="11025" width="15" style="20" customWidth="1"/>
    <col min="11026" max="11026" width="14.5703125" style="20" customWidth="1"/>
    <col min="11027" max="11027" width="14.85546875" style="20" customWidth="1"/>
    <col min="11028" max="11028" width="15" style="20" customWidth="1"/>
    <col min="11029" max="11039" width="16.140625" style="20" customWidth="1"/>
    <col min="11040" max="11040" width="58.140625" style="20" customWidth="1"/>
    <col min="11041" max="11041" width="3.7109375" style="20" customWidth="1"/>
    <col min="11042" max="11042" width="18.85546875" style="20" customWidth="1"/>
    <col min="11043" max="11264" width="9.140625" style="20"/>
    <col min="11265" max="11265" width="51.42578125" style="20" customWidth="1"/>
    <col min="11266" max="11266" width="15.28515625" style="20" customWidth="1"/>
    <col min="11267" max="11267" width="17.140625" style="20" customWidth="1"/>
    <col min="11268" max="11268" width="13.85546875" style="20" customWidth="1"/>
    <col min="11269" max="11269" width="15.42578125" style="20" customWidth="1"/>
    <col min="11270" max="11271" width="13.42578125" style="20" customWidth="1"/>
    <col min="11272" max="11272" width="17.42578125" style="20" customWidth="1"/>
    <col min="11273" max="11273" width="14.7109375" style="20" customWidth="1"/>
    <col min="11274" max="11274" width="13.5703125" style="20" customWidth="1"/>
    <col min="11275" max="11275" width="15.140625" style="20" customWidth="1"/>
    <col min="11276" max="11276" width="14.7109375" style="20" customWidth="1"/>
    <col min="11277" max="11277" width="15.140625" style="20" customWidth="1"/>
    <col min="11278" max="11278" width="14.140625" style="20" customWidth="1"/>
    <col min="11279" max="11279" width="14.7109375" style="20" customWidth="1"/>
    <col min="11280" max="11280" width="14.42578125" style="20" customWidth="1"/>
    <col min="11281" max="11281" width="15" style="20" customWidth="1"/>
    <col min="11282" max="11282" width="14.5703125" style="20" customWidth="1"/>
    <col min="11283" max="11283" width="14.85546875" style="20" customWidth="1"/>
    <col min="11284" max="11284" width="15" style="20" customWidth="1"/>
    <col min="11285" max="11295" width="16.140625" style="20" customWidth="1"/>
    <col min="11296" max="11296" width="58.140625" style="20" customWidth="1"/>
    <col min="11297" max="11297" width="3.7109375" style="20" customWidth="1"/>
    <col min="11298" max="11298" width="18.85546875" style="20" customWidth="1"/>
    <col min="11299" max="11520" width="9.140625" style="20"/>
    <col min="11521" max="11521" width="51.42578125" style="20" customWidth="1"/>
    <col min="11522" max="11522" width="15.28515625" style="20" customWidth="1"/>
    <col min="11523" max="11523" width="17.140625" style="20" customWidth="1"/>
    <col min="11524" max="11524" width="13.85546875" style="20" customWidth="1"/>
    <col min="11525" max="11525" width="15.42578125" style="20" customWidth="1"/>
    <col min="11526" max="11527" width="13.42578125" style="20" customWidth="1"/>
    <col min="11528" max="11528" width="17.42578125" style="20" customWidth="1"/>
    <col min="11529" max="11529" width="14.7109375" style="20" customWidth="1"/>
    <col min="11530" max="11530" width="13.5703125" style="20" customWidth="1"/>
    <col min="11531" max="11531" width="15.140625" style="20" customWidth="1"/>
    <col min="11532" max="11532" width="14.7109375" style="20" customWidth="1"/>
    <col min="11533" max="11533" width="15.140625" style="20" customWidth="1"/>
    <col min="11534" max="11534" width="14.140625" style="20" customWidth="1"/>
    <col min="11535" max="11535" width="14.7109375" style="20" customWidth="1"/>
    <col min="11536" max="11536" width="14.42578125" style="20" customWidth="1"/>
    <col min="11537" max="11537" width="15" style="20" customWidth="1"/>
    <col min="11538" max="11538" width="14.5703125" style="20" customWidth="1"/>
    <col min="11539" max="11539" width="14.85546875" style="20" customWidth="1"/>
    <col min="11540" max="11540" width="15" style="20" customWidth="1"/>
    <col min="11541" max="11551" width="16.140625" style="20" customWidth="1"/>
    <col min="11552" max="11552" width="58.140625" style="20" customWidth="1"/>
    <col min="11553" max="11553" width="3.7109375" style="20" customWidth="1"/>
    <col min="11554" max="11554" width="18.85546875" style="20" customWidth="1"/>
    <col min="11555" max="11776" width="9.140625" style="20"/>
    <col min="11777" max="11777" width="51.42578125" style="20" customWidth="1"/>
    <col min="11778" max="11778" width="15.28515625" style="20" customWidth="1"/>
    <col min="11779" max="11779" width="17.140625" style="20" customWidth="1"/>
    <col min="11780" max="11780" width="13.85546875" style="20" customWidth="1"/>
    <col min="11781" max="11781" width="15.42578125" style="20" customWidth="1"/>
    <col min="11782" max="11783" width="13.42578125" style="20" customWidth="1"/>
    <col min="11784" max="11784" width="17.42578125" style="20" customWidth="1"/>
    <col min="11785" max="11785" width="14.7109375" style="20" customWidth="1"/>
    <col min="11786" max="11786" width="13.5703125" style="20" customWidth="1"/>
    <col min="11787" max="11787" width="15.140625" style="20" customWidth="1"/>
    <col min="11788" max="11788" width="14.7109375" style="20" customWidth="1"/>
    <col min="11789" max="11789" width="15.140625" style="20" customWidth="1"/>
    <col min="11790" max="11790" width="14.140625" style="20" customWidth="1"/>
    <col min="11791" max="11791" width="14.7109375" style="20" customWidth="1"/>
    <col min="11792" max="11792" width="14.42578125" style="20" customWidth="1"/>
    <col min="11793" max="11793" width="15" style="20" customWidth="1"/>
    <col min="11794" max="11794" width="14.5703125" style="20" customWidth="1"/>
    <col min="11795" max="11795" width="14.85546875" style="20" customWidth="1"/>
    <col min="11796" max="11796" width="15" style="20" customWidth="1"/>
    <col min="11797" max="11807" width="16.140625" style="20" customWidth="1"/>
    <col min="11808" max="11808" width="58.140625" style="20" customWidth="1"/>
    <col min="11809" max="11809" width="3.7109375" style="20" customWidth="1"/>
    <col min="11810" max="11810" width="18.85546875" style="20" customWidth="1"/>
    <col min="11811" max="12032" width="9.140625" style="20"/>
    <col min="12033" max="12033" width="51.42578125" style="20" customWidth="1"/>
    <col min="12034" max="12034" width="15.28515625" style="20" customWidth="1"/>
    <col min="12035" max="12035" width="17.140625" style="20" customWidth="1"/>
    <col min="12036" max="12036" width="13.85546875" style="20" customWidth="1"/>
    <col min="12037" max="12037" width="15.42578125" style="20" customWidth="1"/>
    <col min="12038" max="12039" width="13.42578125" style="20" customWidth="1"/>
    <col min="12040" max="12040" width="17.42578125" style="20" customWidth="1"/>
    <col min="12041" max="12041" width="14.7109375" style="20" customWidth="1"/>
    <col min="12042" max="12042" width="13.5703125" style="20" customWidth="1"/>
    <col min="12043" max="12043" width="15.140625" style="20" customWidth="1"/>
    <col min="12044" max="12044" width="14.7109375" style="20" customWidth="1"/>
    <col min="12045" max="12045" width="15.140625" style="20" customWidth="1"/>
    <col min="12046" max="12046" width="14.140625" style="20" customWidth="1"/>
    <col min="12047" max="12047" width="14.7109375" style="20" customWidth="1"/>
    <col min="12048" max="12048" width="14.42578125" style="20" customWidth="1"/>
    <col min="12049" max="12049" width="15" style="20" customWidth="1"/>
    <col min="12050" max="12050" width="14.5703125" style="20" customWidth="1"/>
    <col min="12051" max="12051" width="14.85546875" style="20" customWidth="1"/>
    <col min="12052" max="12052" width="15" style="20" customWidth="1"/>
    <col min="12053" max="12063" width="16.140625" style="20" customWidth="1"/>
    <col min="12064" max="12064" width="58.140625" style="20" customWidth="1"/>
    <col min="12065" max="12065" width="3.7109375" style="20" customWidth="1"/>
    <col min="12066" max="12066" width="18.85546875" style="20" customWidth="1"/>
    <col min="12067" max="12288" width="9.140625" style="20"/>
    <col min="12289" max="12289" width="51.42578125" style="20" customWidth="1"/>
    <col min="12290" max="12290" width="15.28515625" style="20" customWidth="1"/>
    <col min="12291" max="12291" width="17.140625" style="20" customWidth="1"/>
    <col min="12292" max="12292" width="13.85546875" style="20" customWidth="1"/>
    <col min="12293" max="12293" width="15.42578125" style="20" customWidth="1"/>
    <col min="12294" max="12295" width="13.42578125" style="20" customWidth="1"/>
    <col min="12296" max="12296" width="17.42578125" style="20" customWidth="1"/>
    <col min="12297" max="12297" width="14.7109375" style="20" customWidth="1"/>
    <col min="12298" max="12298" width="13.5703125" style="20" customWidth="1"/>
    <col min="12299" max="12299" width="15.140625" style="20" customWidth="1"/>
    <col min="12300" max="12300" width="14.7109375" style="20" customWidth="1"/>
    <col min="12301" max="12301" width="15.140625" style="20" customWidth="1"/>
    <col min="12302" max="12302" width="14.140625" style="20" customWidth="1"/>
    <col min="12303" max="12303" width="14.7109375" style="20" customWidth="1"/>
    <col min="12304" max="12304" width="14.42578125" style="20" customWidth="1"/>
    <col min="12305" max="12305" width="15" style="20" customWidth="1"/>
    <col min="12306" max="12306" width="14.5703125" style="20" customWidth="1"/>
    <col min="12307" max="12307" width="14.85546875" style="20" customWidth="1"/>
    <col min="12308" max="12308" width="15" style="20" customWidth="1"/>
    <col min="12309" max="12319" width="16.140625" style="20" customWidth="1"/>
    <col min="12320" max="12320" width="58.140625" style="20" customWidth="1"/>
    <col min="12321" max="12321" width="3.7109375" style="20" customWidth="1"/>
    <col min="12322" max="12322" width="18.85546875" style="20" customWidth="1"/>
    <col min="12323" max="12544" width="9.140625" style="20"/>
    <col min="12545" max="12545" width="51.42578125" style="20" customWidth="1"/>
    <col min="12546" max="12546" width="15.28515625" style="20" customWidth="1"/>
    <col min="12547" max="12547" width="17.140625" style="20" customWidth="1"/>
    <col min="12548" max="12548" width="13.85546875" style="20" customWidth="1"/>
    <col min="12549" max="12549" width="15.42578125" style="20" customWidth="1"/>
    <col min="12550" max="12551" width="13.42578125" style="20" customWidth="1"/>
    <col min="12552" max="12552" width="17.42578125" style="20" customWidth="1"/>
    <col min="12553" max="12553" width="14.7109375" style="20" customWidth="1"/>
    <col min="12554" max="12554" width="13.5703125" style="20" customWidth="1"/>
    <col min="12555" max="12555" width="15.140625" style="20" customWidth="1"/>
    <col min="12556" max="12556" width="14.7109375" style="20" customWidth="1"/>
    <col min="12557" max="12557" width="15.140625" style="20" customWidth="1"/>
    <col min="12558" max="12558" width="14.140625" style="20" customWidth="1"/>
    <col min="12559" max="12559" width="14.7109375" style="20" customWidth="1"/>
    <col min="12560" max="12560" width="14.42578125" style="20" customWidth="1"/>
    <col min="12561" max="12561" width="15" style="20" customWidth="1"/>
    <col min="12562" max="12562" width="14.5703125" style="20" customWidth="1"/>
    <col min="12563" max="12563" width="14.85546875" style="20" customWidth="1"/>
    <col min="12564" max="12564" width="15" style="20" customWidth="1"/>
    <col min="12565" max="12575" width="16.140625" style="20" customWidth="1"/>
    <col min="12576" max="12576" width="58.140625" style="20" customWidth="1"/>
    <col min="12577" max="12577" width="3.7109375" style="20" customWidth="1"/>
    <col min="12578" max="12578" width="18.85546875" style="20" customWidth="1"/>
    <col min="12579" max="12800" width="9.140625" style="20"/>
    <col min="12801" max="12801" width="51.42578125" style="20" customWidth="1"/>
    <col min="12802" max="12802" width="15.28515625" style="20" customWidth="1"/>
    <col min="12803" max="12803" width="17.140625" style="20" customWidth="1"/>
    <col min="12804" max="12804" width="13.85546875" style="20" customWidth="1"/>
    <col min="12805" max="12805" width="15.42578125" style="20" customWidth="1"/>
    <col min="12806" max="12807" width="13.42578125" style="20" customWidth="1"/>
    <col min="12808" max="12808" width="17.42578125" style="20" customWidth="1"/>
    <col min="12809" max="12809" width="14.7109375" style="20" customWidth="1"/>
    <col min="12810" max="12810" width="13.5703125" style="20" customWidth="1"/>
    <col min="12811" max="12811" width="15.140625" style="20" customWidth="1"/>
    <col min="12812" max="12812" width="14.7109375" style="20" customWidth="1"/>
    <col min="12813" max="12813" width="15.140625" style="20" customWidth="1"/>
    <col min="12814" max="12814" width="14.140625" style="20" customWidth="1"/>
    <col min="12815" max="12815" width="14.7109375" style="20" customWidth="1"/>
    <col min="12816" max="12816" width="14.42578125" style="20" customWidth="1"/>
    <col min="12817" max="12817" width="15" style="20" customWidth="1"/>
    <col min="12818" max="12818" width="14.5703125" style="20" customWidth="1"/>
    <col min="12819" max="12819" width="14.85546875" style="20" customWidth="1"/>
    <col min="12820" max="12820" width="15" style="20" customWidth="1"/>
    <col min="12821" max="12831" width="16.140625" style="20" customWidth="1"/>
    <col min="12832" max="12832" width="58.140625" style="20" customWidth="1"/>
    <col min="12833" max="12833" width="3.7109375" style="20" customWidth="1"/>
    <col min="12834" max="12834" width="18.85546875" style="20" customWidth="1"/>
    <col min="12835" max="13056" width="9.140625" style="20"/>
    <col min="13057" max="13057" width="51.42578125" style="20" customWidth="1"/>
    <col min="13058" max="13058" width="15.28515625" style="20" customWidth="1"/>
    <col min="13059" max="13059" width="17.140625" style="20" customWidth="1"/>
    <col min="13060" max="13060" width="13.85546875" style="20" customWidth="1"/>
    <col min="13061" max="13061" width="15.42578125" style="20" customWidth="1"/>
    <col min="13062" max="13063" width="13.42578125" style="20" customWidth="1"/>
    <col min="13064" max="13064" width="17.42578125" style="20" customWidth="1"/>
    <col min="13065" max="13065" width="14.7109375" style="20" customWidth="1"/>
    <col min="13066" max="13066" width="13.5703125" style="20" customWidth="1"/>
    <col min="13067" max="13067" width="15.140625" style="20" customWidth="1"/>
    <col min="13068" max="13068" width="14.7109375" style="20" customWidth="1"/>
    <col min="13069" max="13069" width="15.140625" style="20" customWidth="1"/>
    <col min="13070" max="13070" width="14.140625" style="20" customWidth="1"/>
    <col min="13071" max="13071" width="14.7109375" style="20" customWidth="1"/>
    <col min="13072" max="13072" width="14.42578125" style="20" customWidth="1"/>
    <col min="13073" max="13073" width="15" style="20" customWidth="1"/>
    <col min="13074" max="13074" width="14.5703125" style="20" customWidth="1"/>
    <col min="13075" max="13075" width="14.85546875" style="20" customWidth="1"/>
    <col min="13076" max="13076" width="15" style="20" customWidth="1"/>
    <col min="13077" max="13087" width="16.140625" style="20" customWidth="1"/>
    <col min="13088" max="13088" width="58.140625" style="20" customWidth="1"/>
    <col min="13089" max="13089" width="3.7109375" style="20" customWidth="1"/>
    <col min="13090" max="13090" width="18.85546875" style="20" customWidth="1"/>
    <col min="13091" max="13312" width="9.140625" style="20"/>
    <col min="13313" max="13313" width="51.42578125" style="20" customWidth="1"/>
    <col min="13314" max="13314" width="15.28515625" style="20" customWidth="1"/>
    <col min="13315" max="13315" width="17.140625" style="20" customWidth="1"/>
    <col min="13316" max="13316" width="13.85546875" style="20" customWidth="1"/>
    <col min="13317" max="13317" width="15.42578125" style="20" customWidth="1"/>
    <col min="13318" max="13319" width="13.42578125" style="20" customWidth="1"/>
    <col min="13320" max="13320" width="17.42578125" style="20" customWidth="1"/>
    <col min="13321" max="13321" width="14.7109375" style="20" customWidth="1"/>
    <col min="13322" max="13322" width="13.5703125" style="20" customWidth="1"/>
    <col min="13323" max="13323" width="15.140625" style="20" customWidth="1"/>
    <col min="13324" max="13324" width="14.7109375" style="20" customWidth="1"/>
    <col min="13325" max="13325" width="15.140625" style="20" customWidth="1"/>
    <col min="13326" max="13326" width="14.140625" style="20" customWidth="1"/>
    <col min="13327" max="13327" width="14.7109375" style="20" customWidth="1"/>
    <col min="13328" max="13328" width="14.42578125" style="20" customWidth="1"/>
    <col min="13329" max="13329" width="15" style="20" customWidth="1"/>
    <col min="13330" max="13330" width="14.5703125" style="20" customWidth="1"/>
    <col min="13331" max="13331" width="14.85546875" style="20" customWidth="1"/>
    <col min="13332" max="13332" width="15" style="20" customWidth="1"/>
    <col min="13333" max="13343" width="16.140625" style="20" customWidth="1"/>
    <col min="13344" max="13344" width="58.140625" style="20" customWidth="1"/>
    <col min="13345" max="13345" width="3.7109375" style="20" customWidth="1"/>
    <col min="13346" max="13346" width="18.85546875" style="20" customWidth="1"/>
    <col min="13347" max="13568" width="9.140625" style="20"/>
    <col min="13569" max="13569" width="51.42578125" style="20" customWidth="1"/>
    <col min="13570" max="13570" width="15.28515625" style="20" customWidth="1"/>
    <col min="13571" max="13571" width="17.140625" style="20" customWidth="1"/>
    <col min="13572" max="13572" width="13.85546875" style="20" customWidth="1"/>
    <col min="13573" max="13573" width="15.42578125" style="20" customWidth="1"/>
    <col min="13574" max="13575" width="13.42578125" style="20" customWidth="1"/>
    <col min="13576" max="13576" width="17.42578125" style="20" customWidth="1"/>
    <col min="13577" max="13577" width="14.7109375" style="20" customWidth="1"/>
    <col min="13578" max="13578" width="13.5703125" style="20" customWidth="1"/>
    <col min="13579" max="13579" width="15.140625" style="20" customWidth="1"/>
    <col min="13580" max="13580" width="14.7109375" style="20" customWidth="1"/>
    <col min="13581" max="13581" width="15.140625" style="20" customWidth="1"/>
    <col min="13582" max="13582" width="14.140625" style="20" customWidth="1"/>
    <col min="13583" max="13583" width="14.7109375" style="20" customWidth="1"/>
    <col min="13584" max="13584" width="14.42578125" style="20" customWidth="1"/>
    <col min="13585" max="13585" width="15" style="20" customWidth="1"/>
    <col min="13586" max="13586" width="14.5703125" style="20" customWidth="1"/>
    <col min="13587" max="13587" width="14.85546875" style="20" customWidth="1"/>
    <col min="13588" max="13588" width="15" style="20" customWidth="1"/>
    <col min="13589" max="13599" width="16.140625" style="20" customWidth="1"/>
    <col min="13600" max="13600" width="58.140625" style="20" customWidth="1"/>
    <col min="13601" max="13601" width="3.7109375" style="20" customWidth="1"/>
    <col min="13602" max="13602" width="18.85546875" style="20" customWidth="1"/>
    <col min="13603" max="13824" width="9.140625" style="20"/>
    <col min="13825" max="13825" width="51.42578125" style="20" customWidth="1"/>
    <col min="13826" max="13826" width="15.28515625" style="20" customWidth="1"/>
    <col min="13827" max="13827" width="17.140625" style="20" customWidth="1"/>
    <col min="13828" max="13828" width="13.85546875" style="20" customWidth="1"/>
    <col min="13829" max="13829" width="15.42578125" style="20" customWidth="1"/>
    <col min="13830" max="13831" width="13.42578125" style="20" customWidth="1"/>
    <col min="13832" max="13832" width="17.42578125" style="20" customWidth="1"/>
    <col min="13833" max="13833" width="14.7109375" style="20" customWidth="1"/>
    <col min="13834" max="13834" width="13.5703125" style="20" customWidth="1"/>
    <col min="13835" max="13835" width="15.140625" style="20" customWidth="1"/>
    <col min="13836" max="13836" width="14.7109375" style="20" customWidth="1"/>
    <col min="13837" max="13837" width="15.140625" style="20" customWidth="1"/>
    <col min="13838" max="13838" width="14.140625" style="20" customWidth="1"/>
    <col min="13839" max="13839" width="14.7109375" style="20" customWidth="1"/>
    <col min="13840" max="13840" width="14.42578125" style="20" customWidth="1"/>
    <col min="13841" max="13841" width="15" style="20" customWidth="1"/>
    <col min="13842" max="13842" width="14.5703125" style="20" customWidth="1"/>
    <col min="13843" max="13843" width="14.85546875" style="20" customWidth="1"/>
    <col min="13844" max="13844" width="15" style="20" customWidth="1"/>
    <col min="13845" max="13855" width="16.140625" style="20" customWidth="1"/>
    <col min="13856" max="13856" width="58.140625" style="20" customWidth="1"/>
    <col min="13857" max="13857" width="3.7109375" style="20" customWidth="1"/>
    <col min="13858" max="13858" width="18.85546875" style="20" customWidth="1"/>
    <col min="13859" max="14080" width="9.140625" style="20"/>
    <col min="14081" max="14081" width="51.42578125" style="20" customWidth="1"/>
    <col min="14082" max="14082" width="15.28515625" style="20" customWidth="1"/>
    <col min="14083" max="14083" width="17.140625" style="20" customWidth="1"/>
    <col min="14084" max="14084" width="13.85546875" style="20" customWidth="1"/>
    <col min="14085" max="14085" width="15.42578125" style="20" customWidth="1"/>
    <col min="14086" max="14087" width="13.42578125" style="20" customWidth="1"/>
    <col min="14088" max="14088" width="17.42578125" style="20" customWidth="1"/>
    <col min="14089" max="14089" width="14.7109375" style="20" customWidth="1"/>
    <col min="14090" max="14090" width="13.5703125" style="20" customWidth="1"/>
    <col min="14091" max="14091" width="15.140625" style="20" customWidth="1"/>
    <col min="14092" max="14092" width="14.7109375" style="20" customWidth="1"/>
    <col min="14093" max="14093" width="15.140625" style="20" customWidth="1"/>
    <col min="14094" max="14094" width="14.140625" style="20" customWidth="1"/>
    <col min="14095" max="14095" width="14.7109375" style="20" customWidth="1"/>
    <col min="14096" max="14096" width="14.42578125" style="20" customWidth="1"/>
    <col min="14097" max="14097" width="15" style="20" customWidth="1"/>
    <col min="14098" max="14098" width="14.5703125" style="20" customWidth="1"/>
    <col min="14099" max="14099" width="14.85546875" style="20" customWidth="1"/>
    <col min="14100" max="14100" width="15" style="20" customWidth="1"/>
    <col min="14101" max="14111" width="16.140625" style="20" customWidth="1"/>
    <col min="14112" max="14112" width="58.140625" style="20" customWidth="1"/>
    <col min="14113" max="14113" width="3.7109375" style="20" customWidth="1"/>
    <col min="14114" max="14114" width="18.85546875" style="20" customWidth="1"/>
    <col min="14115" max="14336" width="9.140625" style="20"/>
    <col min="14337" max="14337" width="51.42578125" style="20" customWidth="1"/>
    <col min="14338" max="14338" width="15.28515625" style="20" customWidth="1"/>
    <col min="14339" max="14339" width="17.140625" style="20" customWidth="1"/>
    <col min="14340" max="14340" width="13.85546875" style="20" customWidth="1"/>
    <col min="14341" max="14341" width="15.42578125" style="20" customWidth="1"/>
    <col min="14342" max="14343" width="13.42578125" style="20" customWidth="1"/>
    <col min="14344" max="14344" width="17.42578125" style="20" customWidth="1"/>
    <col min="14345" max="14345" width="14.7109375" style="20" customWidth="1"/>
    <col min="14346" max="14346" width="13.5703125" style="20" customWidth="1"/>
    <col min="14347" max="14347" width="15.140625" style="20" customWidth="1"/>
    <col min="14348" max="14348" width="14.7109375" style="20" customWidth="1"/>
    <col min="14349" max="14349" width="15.140625" style="20" customWidth="1"/>
    <col min="14350" max="14350" width="14.140625" style="20" customWidth="1"/>
    <col min="14351" max="14351" width="14.7109375" style="20" customWidth="1"/>
    <col min="14352" max="14352" width="14.42578125" style="20" customWidth="1"/>
    <col min="14353" max="14353" width="15" style="20" customWidth="1"/>
    <col min="14354" max="14354" width="14.5703125" style="20" customWidth="1"/>
    <col min="14355" max="14355" width="14.85546875" style="20" customWidth="1"/>
    <col min="14356" max="14356" width="15" style="20" customWidth="1"/>
    <col min="14357" max="14367" width="16.140625" style="20" customWidth="1"/>
    <col min="14368" max="14368" width="58.140625" style="20" customWidth="1"/>
    <col min="14369" max="14369" width="3.7109375" style="20" customWidth="1"/>
    <col min="14370" max="14370" width="18.85546875" style="20" customWidth="1"/>
    <col min="14371" max="14592" width="9.140625" style="20"/>
    <col min="14593" max="14593" width="51.42578125" style="20" customWidth="1"/>
    <col min="14594" max="14594" width="15.28515625" style="20" customWidth="1"/>
    <col min="14595" max="14595" width="17.140625" style="20" customWidth="1"/>
    <col min="14596" max="14596" width="13.85546875" style="20" customWidth="1"/>
    <col min="14597" max="14597" width="15.42578125" style="20" customWidth="1"/>
    <col min="14598" max="14599" width="13.42578125" style="20" customWidth="1"/>
    <col min="14600" max="14600" width="17.42578125" style="20" customWidth="1"/>
    <col min="14601" max="14601" width="14.7109375" style="20" customWidth="1"/>
    <col min="14602" max="14602" width="13.5703125" style="20" customWidth="1"/>
    <col min="14603" max="14603" width="15.140625" style="20" customWidth="1"/>
    <col min="14604" max="14604" width="14.7109375" style="20" customWidth="1"/>
    <col min="14605" max="14605" width="15.140625" style="20" customWidth="1"/>
    <col min="14606" max="14606" width="14.140625" style="20" customWidth="1"/>
    <col min="14607" max="14607" width="14.7109375" style="20" customWidth="1"/>
    <col min="14608" max="14608" width="14.42578125" style="20" customWidth="1"/>
    <col min="14609" max="14609" width="15" style="20" customWidth="1"/>
    <col min="14610" max="14610" width="14.5703125" style="20" customWidth="1"/>
    <col min="14611" max="14611" width="14.85546875" style="20" customWidth="1"/>
    <col min="14612" max="14612" width="15" style="20" customWidth="1"/>
    <col min="14613" max="14623" width="16.140625" style="20" customWidth="1"/>
    <col min="14624" max="14624" width="58.140625" style="20" customWidth="1"/>
    <col min="14625" max="14625" width="3.7109375" style="20" customWidth="1"/>
    <col min="14626" max="14626" width="18.85546875" style="20" customWidth="1"/>
    <col min="14627" max="14848" width="9.140625" style="20"/>
    <col min="14849" max="14849" width="51.42578125" style="20" customWidth="1"/>
    <col min="14850" max="14850" width="15.28515625" style="20" customWidth="1"/>
    <col min="14851" max="14851" width="17.140625" style="20" customWidth="1"/>
    <col min="14852" max="14852" width="13.85546875" style="20" customWidth="1"/>
    <col min="14853" max="14853" width="15.42578125" style="20" customWidth="1"/>
    <col min="14854" max="14855" width="13.42578125" style="20" customWidth="1"/>
    <col min="14856" max="14856" width="17.42578125" style="20" customWidth="1"/>
    <col min="14857" max="14857" width="14.7109375" style="20" customWidth="1"/>
    <col min="14858" max="14858" width="13.5703125" style="20" customWidth="1"/>
    <col min="14859" max="14859" width="15.140625" style="20" customWidth="1"/>
    <col min="14860" max="14860" width="14.7109375" style="20" customWidth="1"/>
    <col min="14861" max="14861" width="15.140625" style="20" customWidth="1"/>
    <col min="14862" max="14862" width="14.140625" style="20" customWidth="1"/>
    <col min="14863" max="14863" width="14.7109375" style="20" customWidth="1"/>
    <col min="14864" max="14864" width="14.42578125" style="20" customWidth="1"/>
    <col min="14865" max="14865" width="15" style="20" customWidth="1"/>
    <col min="14866" max="14866" width="14.5703125" style="20" customWidth="1"/>
    <col min="14867" max="14867" width="14.85546875" style="20" customWidth="1"/>
    <col min="14868" max="14868" width="15" style="20" customWidth="1"/>
    <col min="14869" max="14879" width="16.140625" style="20" customWidth="1"/>
    <col min="14880" max="14880" width="58.140625" style="20" customWidth="1"/>
    <col min="14881" max="14881" width="3.7109375" style="20" customWidth="1"/>
    <col min="14882" max="14882" width="18.85546875" style="20" customWidth="1"/>
    <col min="14883" max="15104" width="9.140625" style="20"/>
    <col min="15105" max="15105" width="51.42578125" style="20" customWidth="1"/>
    <col min="15106" max="15106" width="15.28515625" style="20" customWidth="1"/>
    <col min="15107" max="15107" width="17.140625" style="20" customWidth="1"/>
    <col min="15108" max="15108" width="13.85546875" style="20" customWidth="1"/>
    <col min="15109" max="15109" width="15.42578125" style="20" customWidth="1"/>
    <col min="15110" max="15111" width="13.42578125" style="20" customWidth="1"/>
    <col min="15112" max="15112" width="17.42578125" style="20" customWidth="1"/>
    <col min="15113" max="15113" width="14.7109375" style="20" customWidth="1"/>
    <col min="15114" max="15114" width="13.5703125" style="20" customWidth="1"/>
    <col min="15115" max="15115" width="15.140625" style="20" customWidth="1"/>
    <col min="15116" max="15116" width="14.7109375" style="20" customWidth="1"/>
    <col min="15117" max="15117" width="15.140625" style="20" customWidth="1"/>
    <col min="15118" max="15118" width="14.140625" style="20" customWidth="1"/>
    <col min="15119" max="15119" width="14.7109375" style="20" customWidth="1"/>
    <col min="15120" max="15120" width="14.42578125" style="20" customWidth="1"/>
    <col min="15121" max="15121" width="15" style="20" customWidth="1"/>
    <col min="15122" max="15122" width="14.5703125" style="20" customWidth="1"/>
    <col min="15123" max="15123" width="14.85546875" style="20" customWidth="1"/>
    <col min="15124" max="15124" width="15" style="20" customWidth="1"/>
    <col min="15125" max="15135" width="16.140625" style="20" customWidth="1"/>
    <col min="15136" max="15136" width="58.140625" style="20" customWidth="1"/>
    <col min="15137" max="15137" width="3.7109375" style="20" customWidth="1"/>
    <col min="15138" max="15138" width="18.85546875" style="20" customWidth="1"/>
    <col min="15139" max="15360" width="9.140625" style="20"/>
    <col min="15361" max="15361" width="51.42578125" style="20" customWidth="1"/>
    <col min="15362" max="15362" width="15.28515625" style="20" customWidth="1"/>
    <col min="15363" max="15363" width="17.140625" style="20" customWidth="1"/>
    <col min="15364" max="15364" width="13.85546875" style="20" customWidth="1"/>
    <col min="15365" max="15365" width="15.42578125" style="20" customWidth="1"/>
    <col min="15366" max="15367" width="13.42578125" style="20" customWidth="1"/>
    <col min="15368" max="15368" width="17.42578125" style="20" customWidth="1"/>
    <col min="15369" max="15369" width="14.7109375" style="20" customWidth="1"/>
    <col min="15370" max="15370" width="13.5703125" style="20" customWidth="1"/>
    <col min="15371" max="15371" width="15.140625" style="20" customWidth="1"/>
    <col min="15372" max="15372" width="14.7109375" style="20" customWidth="1"/>
    <col min="15373" max="15373" width="15.140625" style="20" customWidth="1"/>
    <col min="15374" max="15374" width="14.140625" style="20" customWidth="1"/>
    <col min="15375" max="15375" width="14.7109375" style="20" customWidth="1"/>
    <col min="15376" max="15376" width="14.42578125" style="20" customWidth="1"/>
    <col min="15377" max="15377" width="15" style="20" customWidth="1"/>
    <col min="15378" max="15378" width="14.5703125" style="20" customWidth="1"/>
    <col min="15379" max="15379" width="14.85546875" style="20" customWidth="1"/>
    <col min="15380" max="15380" width="15" style="20" customWidth="1"/>
    <col min="15381" max="15391" width="16.140625" style="20" customWidth="1"/>
    <col min="15392" max="15392" width="58.140625" style="20" customWidth="1"/>
    <col min="15393" max="15393" width="3.7109375" style="20" customWidth="1"/>
    <col min="15394" max="15394" width="18.85546875" style="20" customWidth="1"/>
    <col min="15395" max="15616" width="9.140625" style="20"/>
    <col min="15617" max="15617" width="51.42578125" style="20" customWidth="1"/>
    <col min="15618" max="15618" width="15.28515625" style="20" customWidth="1"/>
    <col min="15619" max="15619" width="17.140625" style="20" customWidth="1"/>
    <col min="15620" max="15620" width="13.85546875" style="20" customWidth="1"/>
    <col min="15621" max="15621" width="15.42578125" style="20" customWidth="1"/>
    <col min="15622" max="15623" width="13.42578125" style="20" customWidth="1"/>
    <col min="15624" max="15624" width="17.42578125" style="20" customWidth="1"/>
    <col min="15625" max="15625" width="14.7109375" style="20" customWidth="1"/>
    <col min="15626" max="15626" width="13.5703125" style="20" customWidth="1"/>
    <col min="15627" max="15627" width="15.140625" style="20" customWidth="1"/>
    <col min="15628" max="15628" width="14.7109375" style="20" customWidth="1"/>
    <col min="15629" max="15629" width="15.140625" style="20" customWidth="1"/>
    <col min="15630" max="15630" width="14.140625" style="20" customWidth="1"/>
    <col min="15631" max="15631" width="14.7109375" style="20" customWidth="1"/>
    <col min="15632" max="15632" width="14.42578125" style="20" customWidth="1"/>
    <col min="15633" max="15633" width="15" style="20" customWidth="1"/>
    <col min="15634" max="15634" width="14.5703125" style="20" customWidth="1"/>
    <col min="15635" max="15635" width="14.85546875" style="20" customWidth="1"/>
    <col min="15636" max="15636" width="15" style="20" customWidth="1"/>
    <col min="15637" max="15647" width="16.140625" style="20" customWidth="1"/>
    <col min="15648" max="15648" width="58.140625" style="20" customWidth="1"/>
    <col min="15649" max="15649" width="3.7109375" style="20" customWidth="1"/>
    <col min="15650" max="15650" width="18.85546875" style="20" customWidth="1"/>
    <col min="15651" max="15872" width="9.140625" style="20"/>
    <col min="15873" max="15873" width="51.42578125" style="20" customWidth="1"/>
    <col min="15874" max="15874" width="15.28515625" style="20" customWidth="1"/>
    <col min="15875" max="15875" width="17.140625" style="20" customWidth="1"/>
    <col min="15876" max="15876" width="13.85546875" style="20" customWidth="1"/>
    <col min="15877" max="15877" width="15.42578125" style="20" customWidth="1"/>
    <col min="15878" max="15879" width="13.42578125" style="20" customWidth="1"/>
    <col min="15880" max="15880" width="17.42578125" style="20" customWidth="1"/>
    <col min="15881" max="15881" width="14.7109375" style="20" customWidth="1"/>
    <col min="15882" max="15882" width="13.5703125" style="20" customWidth="1"/>
    <col min="15883" max="15883" width="15.140625" style="20" customWidth="1"/>
    <col min="15884" max="15884" width="14.7109375" style="20" customWidth="1"/>
    <col min="15885" max="15885" width="15.140625" style="20" customWidth="1"/>
    <col min="15886" max="15886" width="14.140625" style="20" customWidth="1"/>
    <col min="15887" max="15887" width="14.7109375" style="20" customWidth="1"/>
    <col min="15888" max="15888" width="14.42578125" style="20" customWidth="1"/>
    <col min="15889" max="15889" width="15" style="20" customWidth="1"/>
    <col min="15890" max="15890" width="14.5703125" style="20" customWidth="1"/>
    <col min="15891" max="15891" width="14.85546875" style="20" customWidth="1"/>
    <col min="15892" max="15892" width="15" style="20" customWidth="1"/>
    <col min="15893" max="15903" width="16.140625" style="20" customWidth="1"/>
    <col min="15904" max="15904" width="58.140625" style="20" customWidth="1"/>
    <col min="15905" max="15905" width="3.7109375" style="20" customWidth="1"/>
    <col min="15906" max="15906" width="18.85546875" style="20" customWidth="1"/>
    <col min="15907" max="16128" width="9.140625" style="20"/>
    <col min="16129" max="16129" width="51.42578125" style="20" customWidth="1"/>
    <col min="16130" max="16130" width="15.28515625" style="20" customWidth="1"/>
    <col min="16131" max="16131" width="17.140625" style="20" customWidth="1"/>
    <col min="16132" max="16132" width="13.85546875" style="20" customWidth="1"/>
    <col min="16133" max="16133" width="15.42578125" style="20" customWidth="1"/>
    <col min="16134" max="16135" width="13.42578125" style="20" customWidth="1"/>
    <col min="16136" max="16136" width="17.42578125" style="20" customWidth="1"/>
    <col min="16137" max="16137" width="14.7109375" style="20" customWidth="1"/>
    <col min="16138" max="16138" width="13.5703125" style="20" customWidth="1"/>
    <col min="16139" max="16139" width="15.140625" style="20" customWidth="1"/>
    <col min="16140" max="16140" width="14.7109375" style="20" customWidth="1"/>
    <col min="16141" max="16141" width="15.140625" style="20" customWidth="1"/>
    <col min="16142" max="16142" width="14.140625" style="20" customWidth="1"/>
    <col min="16143" max="16143" width="14.7109375" style="20" customWidth="1"/>
    <col min="16144" max="16144" width="14.42578125" style="20" customWidth="1"/>
    <col min="16145" max="16145" width="15" style="20" customWidth="1"/>
    <col min="16146" max="16146" width="14.5703125" style="20" customWidth="1"/>
    <col min="16147" max="16147" width="14.85546875" style="20" customWidth="1"/>
    <col min="16148" max="16148" width="15" style="20" customWidth="1"/>
    <col min="16149" max="16159" width="16.140625" style="20" customWidth="1"/>
    <col min="16160" max="16160" width="58.140625" style="20" customWidth="1"/>
    <col min="16161" max="16161" width="3.7109375" style="20" customWidth="1"/>
    <col min="16162" max="16162" width="18.85546875" style="20" customWidth="1"/>
    <col min="16163" max="16384" width="9.140625" style="20"/>
  </cols>
  <sheetData>
    <row r="1" spans="1:34" ht="26.25" customHeight="1" x14ac:dyDescent="0.25">
      <c r="A1" s="91"/>
      <c r="O1" s="22"/>
      <c r="P1" s="22"/>
      <c r="Q1" s="22"/>
      <c r="R1" s="22"/>
      <c r="S1" s="22"/>
      <c r="V1" s="55"/>
      <c r="W1" s="55"/>
      <c r="X1" s="55"/>
      <c r="Y1" s="55"/>
      <c r="Z1" s="65"/>
      <c r="AA1" s="65"/>
      <c r="AB1" s="65"/>
      <c r="AC1" s="65"/>
      <c r="AD1" s="65"/>
      <c r="AF1" s="23"/>
    </row>
    <row r="2" spans="1:34" ht="26.25" customHeight="1" x14ac:dyDescent="0.25">
      <c r="A2" s="161" t="s">
        <v>145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</row>
    <row r="3" spans="1:34" s="25" customFormat="1" ht="31.5" customHeight="1" x14ac:dyDescent="0.35">
      <c r="A3" s="162" t="s">
        <v>128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24"/>
      <c r="V3" s="24"/>
      <c r="W3" s="24"/>
      <c r="X3" s="24"/>
      <c r="Y3" s="24"/>
      <c r="Z3" s="24"/>
      <c r="AA3" s="24"/>
      <c r="AB3" s="163"/>
      <c r="AC3" s="163"/>
      <c r="AD3" s="163"/>
      <c r="AE3" s="24"/>
      <c r="AF3" s="26" t="s">
        <v>80</v>
      </c>
      <c r="AH3" s="21"/>
    </row>
    <row r="4" spans="1:34" s="27" customFormat="1" ht="18.75" customHeight="1" x14ac:dyDescent="0.25">
      <c r="A4" s="164" t="s">
        <v>131</v>
      </c>
      <c r="B4" s="166" t="s">
        <v>141</v>
      </c>
      <c r="C4" s="168" t="s">
        <v>81</v>
      </c>
      <c r="D4" s="168" t="s">
        <v>82</v>
      </c>
      <c r="E4" s="168" t="s">
        <v>83</v>
      </c>
      <c r="F4" s="168" t="s">
        <v>84</v>
      </c>
      <c r="G4" s="168"/>
      <c r="H4" s="170" t="s">
        <v>85</v>
      </c>
      <c r="I4" s="171"/>
      <c r="J4" s="170" t="s">
        <v>86</v>
      </c>
      <c r="K4" s="171"/>
      <c r="L4" s="170" t="s">
        <v>87</v>
      </c>
      <c r="M4" s="171"/>
      <c r="N4" s="170" t="s">
        <v>88</v>
      </c>
      <c r="O4" s="171"/>
      <c r="P4" s="170" t="s">
        <v>89</v>
      </c>
      <c r="Q4" s="171"/>
      <c r="R4" s="170" t="s">
        <v>90</v>
      </c>
      <c r="S4" s="171"/>
      <c r="T4" s="170" t="s">
        <v>91</v>
      </c>
      <c r="U4" s="171"/>
      <c r="V4" s="170" t="s">
        <v>92</v>
      </c>
      <c r="W4" s="171"/>
      <c r="X4" s="170" t="s">
        <v>93</v>
      </c>
      <c r="Y4" s="171"/>
      <c r="Z4" s="170" t="s">
        <v>94</v>
      </c>
      <c r="AA4" s="171"/>
      <c r="AB4" s="170" t="s">
        <v>95</v>
      </c>
      <c r="AC4" s="171"/>
      <c r="AD4" s="170" t="s">
        <v>96</v>
      </c>
      <c r="AE4" s="171"/>
      <c r="AF4" s="172" t="s">
        <v>97</v>
      </c>
      <c r="AH4" s="28"/>
    </row>
    <row r="5" spans="1:34" s="30" customFormat="1" ht="72" customHeight="1" x14ac:dyDescent="0.25">
      <c r="A5" s="165"/>
      <c r="B5" s="167"/>
      <c r="C5" s="168"/>
      <c r="D5" s="169"/>
      <c r="E5" s="168"/>
      <c r="F5" s="90" t="s">
        <v>98</v>
      </c>
      <c r="G5" s="90" t="s">
        <v>99</v>
      </c>
      <c r="H5" s="29" t="s">
        <v>119</v>
      </c>
      <c r="I5" s="29" t="s">
        <v>100</v>
      </c>
      <c r="J5" s="29" t="s">
        <v>119</v>
      </c>
      <c r="K5" s="29" t="s">
        <v>100</v>
      </c>
      <c r="L5" s="29" t="s">
        <v>119</v>
      </c>
      <c r="M5" s="29" t="s">
        <v>100</v>
      </c>
      <c r="N5" s="29" t="s">
        <v>119</v>
      </c>
      <c r="O5" s="29" t="s">
        <v>100</v>
      </c>
      <c r="P5" s="29" t="s">
        <v>119</v>
      </c>
      <c r="Q5" s="29" t="s">
        <v>100</v>
      </c>
      <c r="R5" s="29" t="s">
        <v>119</v>
      </c>
      <c r="S5" s="29" t="s">
        <v>100</v>
      </c>
      <c r="T5" s="29" t="s">
        <v>119</v>
      </c>
      <c r="U5" s="29" t="s">
        <v>100</v>
      </c>
      <c r="V5" s="29" t="s">
        <v>119</v>
      </c>
      <c r="W5" s="29" t="s">
        <v>100</v>
      </c>
      <c r="X5" s="29" t="s">
        <v>119</v>
      </c>
      <c r="Y5" s="29" t="s">
        <v>100</v>
      </c>
      <c r="Z5" s="29" t="s">
        <v>119</v>
      </c>
      <c r="AA5" s="29" t="s">
        <v>100</v>
      </c>
      <c r="AB5" s="29" t="s">
        <v>119</v>
      </c>
      <c r="AC5" s="29" t="s">
        <v>100</v>
      </c>
      <c r="AD5" s="29" t="s">
        <v>119</v>
      </c>
      <c r="AE5" s="29" t="s">
        <v>100</v>
      </c>
      <c r="AF5" s="172"/>
      <c r="AH5" s="28"/>
    </row>
    <row r="6" spans="1:34" s="32" customFormat="1" ht="17.25" customHeight="1" x14ac:dyDescent="0.25">
      <c r="A6" s="63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4"/>
      <c r="AF6" s="31">
        <v>32</v>
      </c>
      <c r="AH6" s="33"/>
    </row>
    <row r="7" spans="1:34" s="36" customFormat="1" ht="25.5" customHeight="1" x14ac:dyDescent="0.25">
      <c r="A7" s="177" t="s">
        <v>101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9"/>
      <c r="AH7" s="37"/>
    </row>
    <row r="8" spans="1:34" s="57" customFormat="1" ht="25.5" customHeight="1" x14ac:dyDescent="0.25">
      <c r="A8" s="203" t="s">
        <v>115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5"/>
      <c r="AH8" s="58"/>
    </row>
    <row r="9" spans="1:34" s="36" customFormat="1" x14ac:dyDescent="0.25">
      <c r="A9" s="122" t="s">
        <v>25</v>
      </c>
      <c r="B9" s="77">
        <f>SUM(B10:B11)</f>
        <v>21106.400000000001</v>
      </c>
      <c r="C9" s="77">
        <f t="shared" ref="C9:D9" si="0">SUM(C10:C11)</f>
        <v>495.59333999999996</v>
      </c>
      <c r="D9" s="77">
        <f t="shared" si="0"/>
        <v>478.73334999999997</v>
      </c>
      <c r="E9" s="77">
        <f>SUM(E10:E11)</f>
        <v>433.89197999999999</v>
      </c>
      <c r="F9" s="72">
        <f>E9/B9</f>
        <v>2.0557365538414887E-2</v>
      </c>
      <c r="G9" s="72">
        <f>E9/C9</f>
        <v>0.87550002185259401</v>
      </c>
      <c r="H9" s="77">
        <f>SUM(H10:H11)</f>
        <v>32.01952</v>
      </c>
      <c r="I9" s="77">
        <f>SUM(I10:I11)</f>
        <v>10.93</v>
      </c>
      <c r="J9" s="77">
        <f t="shared" ref="J9" si="1">SUM(J10:J11)</f>
        <v>463.57381999999996</v>
      </c>
      <c r="K9" s="77">
        <f t="shared" ref="K9" si="2">SUM(K10:K11)</f>
        <v>422.96197999999998</v>
      </c>
      <c r="L9" s="77">
        <f t="shared" ref="L9" si="3">SUM(L10:L11)</f>
        <v>425.59494999999998</v>
      </c>
      <c r="M9" s="77">
        <f t="shared" ref="M9" si="4">SUM(M10:M11)</f>
        <v>0</v>
      </c>
      <c r="N9" s="77">
        <f t="shared" ref="N9" si="5">SUM(N10:N11)</f>
        <v>1068.5842600000001</v>
      </c>
      <c r="O9" s="77">
        <f t="shared" ref="O9" si="6">SUM(O10:O11)</f>
        <v>0</v>
      </c>
      <c r="P9" s="77">
        <f t="shared" ref="P9" si="7">SUM(P10:P11)</f>
        <v>695.95043999999984</v>
      </c>
      <c r="Q9" s="77">
        <f t="shared" ref="Q9" si="8">SUM(Q10:Q11)</f>
        <v>0</v>
      </c>
      <c r="R9" s="77">
        <f t="shared" ref="R9" si="9">SUM(R10:R11)</f>
        <v>4941.5904399999999</v>
      </c>
      <c r="S9" s="77">
        <f t="shared" ref="S9" si="10">SUM(S10:S11)</f>
        <v>0</v>
      </c>
      <c r="T9" s="77">
        <f t="shared" ref="T9" si="11">SUM(T10:T11)</f>
        <v>6562.3143700000001</v>
      </c>
      <c r="U9" s="77">
        <f t="shared" ref="U9" si="12">SUM(U10:U11)</f>
        <v>0</v>
      </c>
      <c r="V9" s="77">
        <f t="shared" ref="V9" si="13">SUM(V10:V11)</f>
        <v>4238.2390100000002</v>
      </c>
      <c r="W9" s="77">
        <f t="shared" ref="W9" si="14">SUM(W10:W11)</f>
        <v>0</v>
      </c>
      <c r="X9" s="77">
        <f t="shared" ref="X9" si="15">SUM(X10:X11)</f>
        <v>1496.1935399999998</v>
      </c>
      <c r="Y9" s="77">
        <f t="shared" ref="Y9" si="16">SUM(Y10:Y11)</f>
        <v>0</v>
      </c>
      <c r="Z9" s="77">
        <f t="shared" ref="Z9" si="17">SUM(Z10:Z11)</f>
        <v>816.79600000000005</v>
      </c>
      <c r="AA9" s="77">
        <f t="shared" ref="AA9" si="18">SUM(AA10:AA11)</f>
        <v>0</v>
      </c>
      <c r="AB9" s="77">
        <f t="shared" ref="AB9" si="19">SUM(AB10:AB11)</f>
        <v>302.09343000000001</v>
      </c>
      <c r="AC9" s="77">
        <f t="shared" ref="AC9" si="20">SUM(AC10:AC11)</f>
        <v>0</v>
      </c>
      <c r="AD9" s="77">
        <f t="shared" ref="AD9" si="21">SUM(AD10:AD11)</f>
        <v>63.450220000000002</v>
      </c>
      <c r="AE9" s="77">
        <f t="shared" ref="AE9" si="22">SUM(AE10:AE11)</f>
        <v>0</v>
      </c>
      <c r="AF9" s="92"/>
      <c r="AH9" s="37"/>
    </row>
    <row r="10" spans="1:34" s="36" customFormat="1" x14ac:dyDescent="0.25">
      <c r="A10" s="124" t="s">
        <v>102</v>
      </c>
      <c r="B10" s="81">
        <f>H10+J10+L10+N10+P10+R10+T10+V10+X10+Z10+AB10+AD10</f>
        <v>2801.1</v>
      </c>
      <c r="C10" s="82">
        <f>C29+C45</f>
        <v>16.859990000000003</v>
      </c>
      <c r="D10" s="82">
        <f>D29+D45</f>
        <v>0</v>
      </c>
      <c r="E10" s="82">
        <f>I10+K10+M10+O10+Q10+S10+U10+W10+Y10+AA10+AC10+AE10</f>
        <v>0</v>
      </c>
      <c r="F10" s="123">
        <f>E10/B10</f>
        <v>0</v>
      </c>
      <c r="G10" s="123">
        <f>E10/C10</f>
        <v>0</v>
      </c>
      <c r="H10" s="82">
        <f>H29+H45</f>
        <v>0</v>
      </c>
      <c r="I10" s="82">
        <f t="shared" ref="I10:AE10" si="23">I29+I45</f>
        <v>0</v>
      </c>
      <c r="J10" s="82">
        <f t="shared" si="23"/>
        <v>16.859990000000003</v>
      </c>
      <c r="K10" s="82">
        <f t="shared" si="23"/>
        <v>0</v>
      </c>
      <c r="L10" s="82">
        <f t="shared" si="23"/>
        <v>62.334990000000005</v>
      </c>
      <c r="M10" s="82">
        <f t="shared" si="23"/>
        <v>0</v>
      </c>
      <c r="N10" s="82">
        <f t="shared" si="23"/>
        <v>65.009990000000002</v>
      </c>
      <c r="O10" s="82">
        <f t="shared" si="23"/>
        <v>0</v>
      </c>
      <c r="P10" s="82">
        <f t="shared" si="23"/>
        <v>110.36899</v>
      </c>
      <c r="Q10" s="82">
        <f t="shared" si="23"/>
        <v>0</v>
      </c>
      <c r="R10" s="82">
        <f t="shared" si="23"/>
        <v>211.52899000000002</v>
      </c>
      <c r="S10" s="82">
        <f t="shared" si="23"/>
        <v>0</v>
      </c>
      <c r="T10" s="82">
        <f t="shared" si="23"/>
        <v>748.39399000000003</v>
      </c>
      <c r="U10" s="82">
        <f t="shared" si="23"/>
        <v>0</v>
      </c>
      <c r="V10" s="82">
        <f t="shared" si="23"/>
        <v>672.68399999999997</v>
      </c>
      <c r="W10" s="82">
        <f t="shared" si="23"/>
        <v>0</v>
      </c>
      <c r="X10" s="82">
        <f t="shared" si="23"/>
        <v>655.82398999999998</v>
      </c>
      <c r="Y10" s="82">
        <f t="shared" si="23"/>
        <v>0</v>
      </c>
      <c r="Z10" s="82">
        <f t="shared" si="23"/>
        <v>144.12499</v>
      </c>
      <c r="AA10" s="82">
        <f t="shared" si="23"/>
        <v>0</v>
      </c>
      <c r="AB10" s="82">
        <f t="shared" si="23"/>
        <v>56.984990000000003</v>
      </c>
      <c r="AC10" s="82">
        <f t="shared" si="23"/>
        <v>0</v>
      </c>
      <c r="AD10" s="82">
        <f t="shared" si="23"/>
        <v>56.98509</v>
      </c>
      <c r="AE10" s="82">
        <f t="shared" si="23"/>
        <v>0</v>
      </c>
      <c r="AF10" s="92"/>
      <c r="AH10" s="37"/>
    </row>
    <row r="11" spans="1:34" s="36" customFormat="1" x14ac:dyDescent="0.25">
      <c r="A11" s="124" t="s">
        <v>103</v>
      </c>
      <c r="B11" s="81">
        <f>H11+J11+L11+N11+P11+R11+T11+V11+X11+Z11+AB11+AD11</f>
        <v>18305.300000000003</v>
      </c>
      <c r="C11" s="82">
        <f>C30+C46</f>
        <v>478.73334999999997</v>
      </c>
      <c r="D11" s="82">
        <f>D30+D46</f>
        <v>478.73334999999997</v>
      </c>
      <c r="E11" s="82">
        <f>I11+K11+M11+O11+Q11+S11+U11+W11+Y11+AA11+AC11+AE11</f>
        <v>433.89197999999999</v>
      </c>
      <c r="F11" s="123">
        <f>E11/B11</f>
        <v>2.370307943601033E-2</v>
      </c>
      <c r="G11" s="123">
        <f>E11/C11</f>
        <v>0.90633330642204057</v>
      </c>
      <c r="H11" s="82">
        <f>H30+H46</f>
        <v>32.01952</v>
      </c>
      <c r="I11" s="82">
        <f t="shared" ref="I11:AE11" si="24">I30+I46</f>
        <v>10.93</v>
      </c>
      <c r="J11" s="82">
        <f t="shared" si="24"/>
        <v>446.71382999999997</v>
      </c>
      <c r="K11" s="82">
        <f t="shared" si="24"/>
        <v>422.96197999999998</v>
      </c>
      <c r="L11" s="82">
        <f t="shared" si="24"/>
        <v>363.25995999999998</v>
      </c>
      <c r="M11" s="82">
        <f t="shared" si="24"/>
        <v>0</v>
      </c>
      <c r="N11" s="82">
        <f t="shared" si="24"/>
        <v>1003.5742700000001</v>
      </c>
      <c r="O11" s="82">
        <f t="shared" si="24"/>
        <v>0</v>
      </c>
      <c r="P11" s="82">
        <f t="shared" si="24"/>
        <v>585.5814499999999</v>
      </c>
      <c r="Q11" s="82">
        <f t="shared" si="24"/>
        <v>0</v>
      </c>
      <c r="R11" s="82">
        <f t="shared" si="24"/>
        <v>4730.0614500000001</v>
      </c>
      <c r="S11" s="82">
        <f t="shared" si="24"/>
        <v>0</v>
      </c>
      <c r="T11" s="82">
        <f t="shared" si="24"/>
        <v>5813.9203799999996</v>
      </c>
      <c r="U11" s="82">
        <f t="shared" si="24"/>
        <v>0</v>
      </c>
      <c r="V11" s="82">
        <f t="shared" si="24"/>
        <v>3565.55501</v>
      </c>
      <c r="W11" s="82">
        <f t="shared" si="24"/>
        <v>0</v>
      </c>
      <c r="X11" s="82">
        <f t="shared" si="24"/>
        <v>840.36954999999989</v>
      </c>
      <c r="Y11" s="82">
        <f t="shared" si="24"/>
        <v>0</v>
      </c>
      <c r="Z11" s="82">
        <f t="shared" si="24"/>
        <v>672.67101000000002</v>
      </c>
      <c r="AA11" s="82">
        <f t="shared" si="24"/>
        <v>0</v>
      </c>
      <c r="AB11" s="82">
        <f t="shared" si="24"/>
        <v>245.10844</v>
      </c>
      <c r="AC11" s="82">
        <f t="shared" si="24"/>
        <v>0</v>
      </c>
      <c r="AD11" s="82">
        <f t="shared" si="24"/>
        <v>6.4651300000000003</v>
      </c>
      <c r="AE11" s="82">
        <f t="shared" si="24"/>
        <v>0</v>
      </c>
      <c r="AF11" s="92"/>
      <c r="AH11" s="37"/>
    </row>
    <row r="12" spans="1:34" s="36" customFormat="1" ht="27.75" customHeight="1" x14ac:dyDescent="0.25">
      <c r="A12" s="215" t="s">
        <v>107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7"/>
      <c r="AF12" s="212"/>
      <c r="AG12" s="137"/>
      <c r="AH12" s="37"/>
    </row>
    <row r="13" spans="1:34" s="36" customFormat="1" x14ac:dyDescent="0.25">
      <c r="A13" s="122" t="s">
        <v>25</v>
      </c>
      <c r="B13" s="77">
        <f>SUM(B14:B15)</f>
        <v>11280.449999999999</v>
      </c>
      <c r="C13" s="77">
        <f t="shared" ref="C13:D13" si="25">SUM(C14:C15)</f>
        <v>0</v>
      </c>
      <c r="D13" s="77">
        <f t="shared" si="25"/>
        <v>0</v>
      </c>
      <c r="E13" s="77">
        <f>SUM(E14:E15)</f>
        <v>0</v>
      </c>
      <c r="F13" s="72">
        <f>E13/B13</f>
        <v>0</v>
      </c>
      <c r="G13" s="72" t="e">
        <f>E13/C13</f>
        <v>#DIV/0!</v>
      </c>
      <c r="H13" s="77">
        <f>SUM(H14:H15)</f>
        <v>0</v>
      </c>
      <c r="I13" s="77">
        <f>SUM(I14:I15)</f>
        <v>0</v>
      </c>
      <c r="J13" s="77">
        <f t="shared" ref="J13:AE13" si="26">SUM(J14:J15)</f>
        <v>0</v>
      </c>
      <c r="K13" s="77">
        <f t="shared" si="26"/>
        <v>0</v>
      </c>
      <c r="L13" s="77">
        <f t="shared" si="26"/>
        <v>0</v>
      </c>
      <c r="M13" s="77">
        <f t="shared" si="26"/>
        <v>0</v>
      </c>
      <c r="N13" s="77">
        <f t="shared" si="26"/>
        <v>591.58344999999997</v>
      </c>
      <c r="O13" s="77">
        <f t="shared" si="26"/>
        <v>0</v>
      </c>
      <c r="P13" s="77">
        <f t="shared" si="26"/>
        <v>64.848669999999998</v>
      </c>
      <c r="Q13" s="77">
        <f t="shared" si="26"/>
        <v>0</v>
      </c>
      <c r="R13" s="77">
        <f t="shared" si="26"/>
        <v>3664.0404199999998</v>
      </c>
      <c r="S13" s="77">
        <f t="shared" si="26"/>
        <v>0</v>
      </c>
      <c r="T13" s="77">
        <f t="shared" si="26"/>
        <v>3470.4151699999998</v>
      </c>
      <c r="U13" s="77">
        <f t="shared" si="26"/>
        <v>0</v>
      </c>
      <c r="V13" s="77">
        <f t="shared" si="26"/>
        <v>2954.5622899999998</v>
      </c>
      <c r="W13" s="77">
        <f t="shared" si="26"/>
        <v>0</v>
      </c>
      <c r="X13" s="77">
        <f t="shared" si="26"/>
        <v>535</v>
      </c>
      <c r="Y13" s="77">
        <f t="shared" si="26"/>
        <v>0</v>
      </c>
      <c r="Z13" s="77">
        <f t="shared" si="26"/>
        <v>0</v>
      </c>
      <c r="AA13" s="77">
        <f t="shared" si="26"/>
        <v>0</v>
      </c>
      <c r="AB13" s="77">
        <f t="shared" si="26"/>
        <v>0</v>
      </c>
      <c r="AC13" s="77">
        <f t="shared" si="26"/>
        <v>0</v>
      </c>
      <c r="AD13" s="77">
        <f t="shared" si="26"/>
        <v>0</v>
      </c>
      <c r="AE13" s="77">
        <f t="shared" si="26"/>
        <v>0</v>
      </c>
      <c r="AF13" s="213"/>
      <c r="AG13" s="137"/>
      <c r="AH13" s="37"/>
    </row>
    <row r="14" spans="1:34" s="36" customFormat="1" ht="25.5" customHeight="1" x14ac:dyDescent="0.25">
      <c r="A14" s="67" t="s">
        <v>102</v>
      </c>
      <c r="B14" s="81">
        <f>H14+J14+L14+N14+P14+R14+T14+V14+X14+Z14+AB14+AD14</f>
        <v>1631.75</v>
      </c>
      <c r="C14" s="75">
        <f>H14+J14</f>
        <v>0</v>
      </c>
      <c r="D14" s="75"/>
      <c r="E14" s="82">
        <f>I14+K14+M14+O14+Q14+S14+U14+W14+Y14+AA14+AC14+AE14</f>
        <v>0</v>
      </c>
      <c r="F14" s="123">
        <f t="shared" ref="F14" si="27">E14/B14</f>
        <v>0</v>
      </c>
      <c r="G14" s="123" t="e">
        <f>E14/C14</f>
        <v>#DIV/0!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>
        <f>561750/1000</f>
        <v>561.75</v>
      </c>
      <c r="U14" s="75"/>
      <c r="V14" s="75">
        <f>535000/1000</f>
        <v>535</v>
      </c>
      <c r="W14" s="75"/>
      <c r="X14" s="75">
        <f>535000/1000</f>
        <v>535</v>
      </c>
      <c r="Y14" s="75"/>
      <c r="Z14" s="75"/>
      <c r="AA14" s="75"/>
      <c r="AB14" s="75"/>
      <c r="AC14" s="75"/>
      <c r="AD14" s="75"/>
      <c r="AE14" s="75"/>
      <c r="AF14" s="213"/>
      <c r="AG14" s="137"/>
      <c r="AH14" s="37"/>
    </row>
    <row r="15" spans="1:34" s="36" customFormat="1" ht="22.5" customHeight="1" x14ac:dyDescent="0.25">
      <c r="A15" s="67" t="s">
        <v>103</v>
      </c>
      <c r="B15" s="81">
        <f>H15+J15+L15+N15+P15+R15+T15+V15+X15+Z15+AB15+AD15</f>
        <v>9648.6999999999989</v>
      </c>
      <c r="C15" s="75">
        <f>H15+J15</f>
        <v>0</v>
      </c>
      <c r="D15" s="75"/>
      <c r="E15" s="82">
        <f>I15+K15+M15+O15+Q15+S15+U15+W15+Y15+AA15+AC15+AE15</f>
        <v>0</v>
      </c>
      <c r="F15" s="123">
        <f t="shared" ref="F15" si="28">E15/B15</f>
        <v>0</v>
      </c>
      <c r="G15" s="123" t="e">
        <f>E15/C15</f>
        <v>#DIV/0!</v>
      </c>
      <c r="H15" s="75"/>
      <c r="I15" s="75"/>
      <c r="J15" s="75"/>
      <c r="K15" s="75"/>
      <c r="L15" s="75"/>
      <c r="M15" s="75"/>
      <c r="N15" s="75">
        <f>591583.45/1000</f>
        <v>591.58344999999997</v>
      </c>
      <c r="O15" s="75"/>
      <c r="P15" s="75">
        <f>64848.67/1000</f>
        <v>64.848669999999998</v>
      </c>
      <c r="Q15" s="75"/>
      <c r="R15" s="75">
        <f>3664040.42/1000</f>
        <v>3664.0404199999998</v>
      </c>
      <c r="S15" s="75"/>
      <c r="T15" s="75">
        <f>2908665.17/1000</f>
        <v>2908.6651699999998</v>
      </c>
      <c r="U15" s="75"/>
      <c r="V15" s="75">
        <f>2419562.29/1000</f>
        <v>2419.5622899999998</v>
      </c>
      <c r="W15" s="75"/>
      <c r="X15" s="75"/>
      <c r="Y15" s="75"/>
      <c r="Z15" s="75"/>
      <c r="AA15" s="75"/>
      <c r="AB15" s="75"/>
      <c r="AC15" s="75"/>
      <c r="AD15" s="75"/>
      <c r="AE15" s="75"/>
      <c r="AF15" s="214"/>
      <c r="AG15" s="137"/>
      <c r="AH15" s="37"/>
    </row>
    <row r="16" spans="1:34" s="36" customFormat="1" ht="33" customHeight="1" x14ac:dyDescent="0.25">
      <c r="A16" s="215" t="s">
        <v>108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7"/>
      <c r="AF16" s="212"/>
      <c r="AH16" s="37"/>
    </row>
    <row r="17" spans="1:35" s="36" customFormat="1" ht="18.75" customHeight="1" x14ac:dyDescent="0.25">
      <c r="A17" s="122" t="s">
        <v>25</v>
      </c>
      <c r="B17" s="77">
        <f>SUM(B18:B19)</f>
        <v>1922.45</v>
      </c>
      <c r="C17" s="77">
        <f t="shared" ref="C17:D17" si="29">SUM(C18:C19)</f>
        <v>339.91197999999997</v>
      </c>
      <c r="D17" s="77">
        <f t="shared" si="29"/>
        <v>339.91197999999997</v>
      </c>
      <c r="E17" s="77">
        <f>SUM(E18:E19)</f>
        <v>339.91197999999997</v>
      </c>
      <c r="F17" s="72">
        <f>E17/B17</f>
        <v>0.1768118702697079</v>
      </c>
      <c r="G17" s="72">
        <f>E17/C17</f>
        <v>1</v>
      </c>
      <c r="H17" s="77">
        <f>SUM(H18:H19)</f>
        <v>0</v>
      </c>
      <c r="I17" s="77">
        <f>SUM(I18:I19)</f>
        <v>0</v>
      </c>
      <c r="J17" s="77">
        <f t="shared" ref="J17:AE17" si="30">SUM(J18:J19)</f>
        <v>339.91197999999997</v>
      </c>
      <c r="K17" s="77">
        <f t="shared" si="30"/>
        <v>339.91197999999997</v>
      </c>
      <c r="L17" s="77">
        <f t="shared" si="30"/>
        <v>337.73655000000002</v>
      </c>
      <c r="M17" s="77">
        <f t="shared" si="30"/>
        <v>0</v>
      </c>
      <c r="N17" s="77">
        <f t="shared" si="30"/>
        <v>260.97152999999997</v>
      </c>
      <c r="O17" s="77">
        <f t="shared" si="30"/>
        <v>0</v>
      </c>
      <c r="P17" s="77">
        <f t="shared" si="30"/>
        <v>224.23576</v>
      </c>
      <c r="Q17" s="77">
        <f t="shared" si="30"/>
        <v>0</v>
      </c>
      <c r="R17" s="77">
        <f t="shared" si="30"/>
        <v>40.125</v>
      </c>
      <c r="S17" s="77">
        <f t="shared" si="30"/>
        <v>0</v>
      </c>
      <c r="T17" s="77">
        <f t="shared" si="30"/>
        <v>0</v>
      </c>
      <c r="U17" s="77">
        <f t="shared" si="30"/>
        <v>0</v>
      </c>
      <c r="V17" s="77">
        <f t="shared" si="30"/>
        <v>0</v>
      </c>
      <c r="W17" s="77">
        <f t="shared" si="30"/>
        <v>0</v>
      </c>
      <c r="X17" s="77">
        <f t="shared" si="30"/>
        <v>260.97152999999997</v>
      </c>
      <c r="Y17" s="77">
        <f t="shared" si="30"/>
        <v>0</v>
      </c>
      <c r="Z17" s="77">
        <f t="shared" si="30"/>
        <v>260.97153000000003</v>
      </c>
      <c r="AA17" s="77">
        <f t="shared" si="30"/>
        <v>0</v>
      </c>
      <c r="AB17" s="77">
        <f t="shared" si="30"/>
        <v>157.40111999999999</v>
      </c>
      <c r="AC17" s="77">
        <f t="shared" si="30"/>
        <v>0</v>
      </c>
      <c r="AD17" s="77">
        <f t="shared" si="30"/>
        <v>40.125</v>
      </c>
      <c r="AE17" s="77">
        <f t="shared" si="30"/>
        <v>0</v>
      </c>
      <c r="AF17" s="184"/>
      <c r="AG17" s="137"/>
      <c r="AH17" s="37"/>
    </row>
    <row r="18" spans="1:35" s="36" customFormat="1" ht="22.5" customHeight="1" x14ac:dyDescent="0.25">
      <c r="A18" s="67" t="s">
        <v>102</v>
      </c>
      <c r="B18" s="81">
        <f>H18+J18+L18+N18+P18+R18+T18+V18+X18+Z18+AB18+AD18</f>
        <v>294.25</v>
      </c>
      <c r="C18" s="75">
        <f>H18+J18</f>
        <v>0</v>
      </c>
      <c r="D18" s="75"/>
      <c r="E18" s="82">
        <f>I18+K18+M18+O18+Q18+S18+U18+W18+Y18+AA18+AC18+AE18</f>
        <v>0</v>
      </c>
      <c r="F18" s="123">
        <f>E18/B18</f>
        <v>0</v>
      </c>
      <c r="G18" s="135" t="e">
        <f>E18/C18</f>
        <v>#DIV/0!</v>
      </c>
      <c r="H18" s="75"/>
      <c r="I18" s="75"/>
      <c r="J18" s="75"/>
      <c r="K18" s="75"/>
      <c r="L18" s="75">
        <f>45475/1000</f>
        <v>45.475000000000001</v>
      </c>
      <c r="M18" s="107"/>
      <c r="N18" s="75">
        <f>48150/1000</f>
        <v>48.15</v>
      </c>
      <c r="O18" s="75"/>
      <c r="P18" s="75">
        <f>40125/1000</f>
        <v>40.125</v>
      </c>
      <c r="Q18" s="75"/>
      <c r="R18" s="75">
        <f>40125/1000</f>
        <v>40.125</v>
      </c>
      <c r="S18" s="107"/>
      <c r="T18" s="107"/>
      <c r="U18" s="107"/>
      <c r="V18" s="107"/>
      <c r="W18" s="107"/>
      <c r="X18" s="75"/>
      <c r="Y18" s="75"/>
      <c r="Z18" s="75">
        <f>40125/1000</f>
        <v>40.125</v>
      </c>
      <c r="AA18" s="75"/>
      <c r="AB18" s="75">
        <f>40125/1000</f>
        <v>40.125</v>
      </c>
      <c r="AC18" s="75"/>
      <c r="AD18" s="75">
        <f>40125/1000</f>
        <v>40.125</v>
      </c>
      <c r="AE18" s="75"/>
      <c r="AF18" s="184"/>
      <c r="AG18" s="137"/>
      <c r="AH18" s="37"/>
    </row>
    <row r="19" spans="1:35" s="36" customFormat="1" ht="24.75" customHeight="1" x14ac:dyDescent="0.25">
      <c r="A19" s="67" t="s">
        <v>103</v>
      </c>
      <c r="B19" s="81">
        <f>H19+J19+L19+N19+P19+R19+T19+V19+X19+Z19+AB19+AD19</f>
        <v>1628.2</v>
      </c>
      <c r="C19" s="75">
        <f>H19+J19</f>
        <v>339.91197999999997</v>
      </c>
      <c r="D19" s="75">
        <f>C19</f>
        <v>339.91197999999997</v>
      </c>
      <c r="E19" s="82">
        <f>I19+K19+M19+O19+Q19+S19+U19+W19+Y19+AA19+AC19+AE19</f>
        <v>339.91197999999997</v>
      </c>
      <c r="F19" s="123">
        <f>E19/B19</f>
        <v>0.20876549563935631</v>
      </c>
      <c r="G19" s="123">
        <f>E19/C19</f>
        <v>1</v>
      </c>
      <c r="H19" s="75"/>
      <c r="I19" s="75"/>
      <c r="J19" s="75">
        <f>339911.98/1000</f>
        <v>339.91197999999997</v>
      </c>
      <c r="K19" s="75">
        <f>339911.98/1000</f>
        <v>339.91197999999997</v>
      </c>
      <c r="L19" s="75">
        <f>292261.55/1000</f>
        <v>292.26155</v>
      </c>
      <c r="M19" s="75"/>
      <c r="N19" s="75">
        <f>212821.53/1000</f>
        <v>212.82153</v>
      </c>
      <c r="O19" s="75"/>
      <c r="P19" s="75">
        <f>184110.76/1000</f>
        <v>184.11076</v>
      </c>
      <c r="Q19" s="75"/>
      <c r="R19" s="107"/>
      <c r="S19" s="107"/>
      <c r="T19" s="107"/>
      <c r="U19" s="107"/>
      <c r="V19" s="107"/>
      <c r="W19" s="107"/>
      <c r="X19" s="75">
        <f>260971.53/1000</f>
        <v>260.97152999999997</v>
      </c>
      <c r="Y19" s="75"/>
      <c r="Z19" s="75">
        <f>220846.53/1000</f>
        <v>220.84653</v>
      </c>
      <c r="AA19" s="75"/>
      <c r="AB19" s="75">
        <f>117276.12/1000</f>
        <v>117.27611999999999</v>
      </c>
      <c r="AC19" s="75"/>
      <c r="AD19" s="75"/>
      <c r="AE19" s="75"/>
      <c r="AF19" s="202"/>
      <c r="AG19" s="137"/>
      <c r="AH19" s="37"/>
    </row>
    <row r="20" spans="1:35" s="36" customFormat="1" ht="30.75" customHeight="1" x14ac:dyDescent="0.25">
      <c r="A20" s="215" t="s">
        <v>113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7"/>
      <c r="AF20" s="212"/>
      <c r="AH20" s="37"/>
    </row>
    <row r="21" spans="1:35" s="36" customFormat="1" x14ac:dyDescent="0.25">
      <c r="A21" s="122" t="s">
        <v>25</v>
      </c>
      <c r="B21" s="77">
        <f>SUM(B22:B23)</f>
        <v>1827.5</v>
      </c>
      <c r="C21" s="77">
        <f t="shared" ref="C21:D21" si="31">SUM(C22:C23)</f>
        <v>0</v>
      </c>
      <c r="D21" s="77">
        <f t="shared" si="31"/>
        <v>0</v>
      </c>
      <c r="E21" s="77">
        <f>SUM(E22:E23)</f>
        <v>0</v>
      </c>
      <c r="F21" s="72">
        <f t="shared" ref="F21" si="32">E21/B21</f>
        <v>0</v>
      </c>
      <c r="G21" s="136" t="e">
        <f>E21/C21</f>
        <v>#DIV/0!</v>
      </c>
      <c r="H21" s="77">
        <f>SUM(H22:H23)</f>
        <v>0</v>
      </c>
      <c r="I21" s="77">
        <f>SUM(I22:I23)</f>
        <v>0</v>
      </c>
      <c r="J21" s="77">
        <f t="shared" ref="J21:AE21" si="33">SUM(J22:J23)</f>
        <v>0</v>
      </c>
      <c r="K21" s="77">
        <f t="shared" si="33"/>
        <v>0</v>
      </c>
      <c r="L21" s="77">
        <f t="shared" si="33"/>
        <v>0</v>
      </c>
      <c r="M21" s="77">
        <f t="shared" si="33"/>
        <v>0</v>
      </c>
      <c r="N21" s="77">
        <f t="shared" si="33"/>
        <v>46.506239999999998</v>
      </c>
      <c r="O21" s="77">
        <f t="shared" si="33"/>
        <v>0</v>
      </c>
      <c r="P21" s="77">
        <f t="shared" si="33"/>
        <v>0</v>
      </c>
      <c r="Q21" s="77">
        <f t="shared" si="33"/>
        <v>0</v>
      </c>
      <c r="R21" s="77">
        <f t="shared" si="33"/>
        <v>611.30718000000002</v>
      </c>
      <c r="S21" s="77">
        <f t="shared" si="33"/>
        <v>0</v>
      </c>
      <c r="T21" s="77">
        <f t="shared" si="33"/>
        <v>584.18186000000003</v>
      </c>
      <c r="U21" s="77">
        <f t="shared" si="33"/>
        <v>0</v>
      </c>
      <c r="V21" s="77">
        <f t="shared" si="33"/>
        <v>585.50472000000002</v>
      </c>
      <c r="W21" s="77">
        <f t="shared" si="33"/>
        <v>0</v>
      </c>
      <c r="X21" s="77">
        <f t="shared" si="33"/>
        <v>0</v>
      </c>
      <c r="Y21" s="77">
        <f t="shared" si="33"/>
        <v>0</v>
      </c>
      <c r="Z21" s="77">
        <f t="shared" si="33"/>
        <v>0</v>
      </c>
      <c r="AA21" s="77">
        <f t="shared" si="33"/>
        <v>0</v>
      </c>
      <c r="AB21" s="77">
        <f t="shared" si="33"/>
        <v>0</v>
      </c>
      <c r="AC21" s="77">
        <f t="shared" si="33"/>
        <v>0</v>
      </c>
      <c r="AD21" s="77">
        <f t="shared" si="33"/>
        <v>0</v>
      </c>
      <c r="AE21" s="77">
        <f t="shared" si="33"/>
        <v>0</v>
      </c>
      <c r="AF21" s="184"/>
      <c r="AG21" s="137"/>
      <c r="AH21" s="37"/>
    </row>
    <row r="22" spans="1:35" s="36" customFormat="1" ht="22.5" customHeight="1" x14ac:dyDescent="0.25">
      <c r="A22" s="67" t="s">
        <v>102</v>
      </c>
      <c r="B22" s="81">
        <f>H22+J22+L22+N22+P22+R22+T22+V22+X22+Z22+AB22+AD22</f>
        <v>0</v>
      </c>
      <c r="C22" s="75">
        <f>H22+J22</f>
        <v>0</v>
      </c>
      <c r="D22" s="75"/>
      <c r="E22" s="82">
        <f>I22+K22+M22+O22+Q22+S22+U22+W22+Y22+AA22+AC22+AE22</f>
        <v>0</v>
      </c>
      <c r="F22" s="123" t="e">
        <f t="shared" ref="F22:F23" si="34">E22/B22</f>
        <v>#DIV/0!</v>
      </c>
      <c r="G22" s="135" t="e">
        <f>E22/C22</f>
        <v>#DIV/0!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184"/>
      <c r="AG22" s="137"/>
      <c r="AH22" s="37"/>
    </row>
    <row r="23" spans="1:35" s="36" customFormat="1" ht="19.5" customHeight="1" x14ac:dyDescent="0.25">
      <c r="A23" s="109" t="s">
        <v>103</v>
      </c>
      <c r="B23" s="81">
        <f>H23+J23+L23+N23+P23+R23+T23+V23+X23+Z23+AB23+AD23</f>
        <v>1827.5</v>
      </c>
      <c r="C23" s="75">
        <f>H23+J23</f>
        <v>0</v>
      </c>
      <c r="D23" s="75"/>
      <c r="E23" s="82">
        <f>I23+K23+M23+O23+Q23+S23+U23+W23+Y23+AA23+AC23+AE23</f>
        <v>0</v>
      </c>
      <c r="F23" s="123">
        <f t="shared" si="34"/>
        <v>0</v>
      </c>
      <c r="G23" s="135" t="e">
        <f>E23/C23</f>
        <v>#DIV/0!</v>
      </c>
      <c r="H23" s="78"/>
      <c r="I23" s="78"/>
      <c r="J23" s="78"/>
      <c r="K23" s="78"/>
      <c r="L23" s="75"/>
      <c r="M23" s="75"/>
      <c r="N23" s="75">
        <f>46506.24/1000</f>
        <v>46.506239999999998</v>
      </c>
      <c r="O23" s="75"/>
      <c r="P23" s="75"/>
      <c r="Q23" s="75"/>
      <c r="R23" s="75">
        <f>611307.18/1000</f>
        <v>611.30718000000002</v>
      </c>
      <c r="S23" s="75"/>
      <c r="T23" s="75">
        <f>584181.86/1000</f>
        <v>584.18186000000003</v>
      </c>
      <c r="U23" s="75"/>
      <c r="V23" s="75">
        <f>585504.72/1000</f>
        <v>585.50472000000002</v>
      </c>
      <c r="W23" s="75"/>
      <c r="X23" s="75"/>
      <c r="Y23" s="75"/>
      <c r="Z23" s="75"/>
      <c r="AA23" s="75"/>
      <c r="AB23" s="75"/>
      <c r="AC23" s="75"/>
      <c r="AD23" s="75"/>
      <c r="AE23" s="75"/>
      <c r="AF23" s="184"/>
      <c r="AG23" s="137"/>
      <c r="AH23" s="38"/>
    </row>
    <row r="24" spans="1:35" s="36" customFormat="1" ht="31.5" customHeight="1" x14ac:dyDescent="0.25">
      <c r="A24" s="215" t="s">
        <v>114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7"/>
      <c r="AF24" s="209" t="s">
        <v>147</v>
      </c>
      <c r="AH24" s="37"/>
    </row>
    <row r="25" spans="1:35" s="36" customFormat="1" x14ac:dyDescent="0.25">
      <c r="A25" s="122" t="s">
        <v>25</v>
      </c>
      <c r="B25" s="77">
        <f>SUM(B26:B27)</f>
        <v>0</v>
      </c>
      <c r="C25" s="77">
        <f t="shared" ref="C25:D25" si="35">SUM(C26:C27)</f>
        <v>0</v>
      </c>
      <c r="D25" s="77">
        <f t="shared" si="35"/>
        <v>0</v>
      </c>
      <c r="E25" s="77">
        <f>SUM(E26:E27)</f>
        <v>0</v>
      </c>
      <c r="F25" s="72" t="e">
        <f>E25/B25</f>
        <v>#DIV/0!</v>
      </c>
      <c r="G25" s="136" t="e">
        <f t="shared" ref="G25:G30" si="36">E25/C25</f>
        <v>#DIV/0!</v>
      </c>
      <c r="H25" s="77">
        <f>SUM(H26:H27)</f>
        <v>0</v>
      </c>
      <c r="I25" s="77">
        <f>SUM(I26:I27)</f>
        <v>0</v>
      </c>
      <c r="J25" s="77">
        <f t="shared" ref="J25:AE25" si="37">SUM(J26:J27)</f>
        <v>0</v>
      </c>
      <c r="K25" s="77">
        <f t="shared" si="37"/>
        <v>0</v>
      </c>
      <c r="L25" s="77">
        <f t="shared" si="37"/>
        <v>0</v>
      </c>
      <c r="M25" s="77">
        <f t="shared" si="37"/>
        <v>0</v>
      </c>
      <c r="N25" s="77">
        <f t="shared" si="37"/>
        <v>0</v>
      </c>
      <c r="O25" s="77">
        <f t="shared" si="37"/>
        <v>0</v>
      </c>
      <c r="P25" s="77">
        <f t="shared" si="37"/>
        <v>0</v>
      </c>
      <c r="Q25" s="77">
        <f t="shared" si="37"/>
        <v>0</v>
      </c>
      <c r="R25" s="77">
        <f t="shared" si="37"/>
        <v>0</v>
      </c>
      <c r="S25" s="77">
        <f t="shared" si="37"/>
        <v>0</v>
      </c>
      <c r="T25" s="77">
        <f t="shared" si="37"/>
        <v>0</v>
      </c>
      <c r="U25" s="77">
        <f t="shared" si="37"/>
        <v>0</v>
      </c>
      <c r="V25" s="77">
        <f t="shared" si="37"/>
        <v>0</v>
      </c>
      <c r="W25" s="77">
        <f t="shared" si="37"/>
        <v>0</v>
      </c>
      <c r="X25" s="77">
        <f t="shared" si="37"/>
        <v>0</v>
      </c>
      <c r="Y25" s="77">
        <f t="shared" si="37"/>
        <v>0</v>
      </c>
      <c r="Z25" s="77">
        <f t="shared" si="37"/>
        <v>0</v>
      </c>
      <c r="AA25" s="77">
        <f t="shared" si="37"/>
        <v>0</v>
      </c>
      <c r="AB25" s="77">
        <f t="shared" si="37"/>
        <v>0</v>
      </c>
      <c r="AC25" s="77">
        <f t="shared" si="37"/>
        <v>0</v>
      </c>
      <c r="AD25" s="77">
        <f t="shared" si="37"/>
        <v>0</v>
      </c>
      <c r="AE25" s="77">
        <f t="shared" si="37"/>
        <v>0</v>
      </c>
      <c r="AF25" s="210"/>
      <c r="AG25" s="137"/>
      <c r="AH25" s="37"/>
    </row>
    <row r="26" spans="1:35" s="36" customFormat="1" ht="27.75" customHeight="1" x14ac:dyDescent="0.25">
      <c r="A26" s="67" t="s">
        <v>102</v>
      </c>
      <c r="B26" s="81">
        <f>H26+J26+L26+N26+P26+R26+T26+V26+X26+Z26+AB26+AD26</f>
        <v>0</v>
      </c>
      <c r="C26" s="75">
        <f>H26+J26</f>
        <v>0</v>
      </c>
      <c r="D26" s="75"/>
      <c r="E26" s="82">
        <f>I26+K26+M26+O26+Q26+S26+U26+W26+Y26+AA26+AC26+AE26</f>
        <v>0</v>
      </c>
      <c r="F26" s="123" t="e">
        <f>E26/B26</f>
        <v>#DIV/0!</v>
      </c>
      <c r="G26" s="135" t="e">
        <f t="shared" si="36"/>
        <v>#DIV/0!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210"/>
      <c r="AG26" s="137"/>
      <c r="AH26" s="37"/>
    </row>
    <row r="27" spans="1:35" s="34" customFormat="1" ht="23.25" customHeight="1" x14ac:dyDescent="0.25">
      <c r="A27" s="67" t="s">
        <v>103</v>
      </c>
      <c r="B27" s="81">
        <f>H27+J27+L27+N27+P27+R27+T27+V27+X27+Z27+AB27+AD27</f>
        <v>0</v>
      </c>
      <c r="C27" s="75">
        <f>H27+J27</f>
        <v>0</v>
      </c>
      <c r="D27" s="75"/>
      <c r="E27" s="82">
        <f>I27+K27+M27+O27+Q27+S27+U27+W27+Y27+AA27+AC27+AE27</f>
        <v>0</v>
      </c>
      <c r="F27" s="123" t="e">
        <f>E27/B27</f>
        <v>#DIV/0!</v>
      </c>
      <c r="G27" s="135" t="e">
        <f t="shared" si="36"/>
        <v>#DIV/0!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211"/>
      <c r="AG27" s="137"/>
      <c r="AH27" s="35"/>
    </row>
    <row r="28" spans="1:35" s="36" customFormat="1" ht="25.5" hidden="1" customHeight="1" x14ac:dyDescent="0.25">
      <c r="A28" s="131" t="s">
        <v>125</v>
      </c>
      <c r="B28" s="117">
        <f>SUM(B29:B30)</f>
        <v>15030.4</v>
      </c>
      <c r="C28" s="117">
        <f t="shared" ref="C28:D28" si="38">SUM(C29:C30)</f>
        <v>339.91197999999997</v>
      </c>
      <c r="D28" s="117">
        <f t="shared" si="38"/>
        <v>339.91197999999997</v>
      </c>
      <c r="E28" s="117">
        <f>SUM(E29:E30)</f>
        <v>339.91197999999997</v>
      </c>
      <c r="F28" s="132">
        <f>E28/B28</f>
        <v>2.2614965669576322E-2</v>
      </c>
      <c r="G28" s="72">
        <f t="shared" si="36"/>
        <v>1</v>
      </c>
      <c r="H28" s="117">
        <f>SUM(H29:H30)</f>
        <v>0</v>
      </c>
      <c r="I28" s="117">
        <f t="shared" ref="I28" si="39">SUM(I29:I30)</f>
        <v>0</v>
      </c>
      <c r="J28" s="117">
        <f t="shared" ref="J28" si="40">SUM(J29:J30)</f>
        <v>339.91197999999997</v>
      </c>
      <c r="K28" s="117">
        <f>SUM(K29:K30)</f>
        <v>339.91197999999997</v>
      </c>
      <c r="L28" s="117">
        <f t="shared" ref="L28" si="41">SUM(L29:L30)</f>
        <v>337.73655000000002</v>
      </c>
      <c r="M28" s="117">
        <f t="shared" ref="M28" si="42">SUM(M29:M30)</f>
        <v>0</v>
      </c>
      <c r="N28" s="117">
        <f t="shared" ref="N28:P28" si="43">SUM(N29:N30)</f>
        <v>899.06122000000005</v>
      </c>
      <c r="O28" s="117">
        <f t="shared" si="43"/>
        <v>0</v>
      </c>
      <c r="P28" s="117">
        <f t="shared" si="43"/>
        <v>289.08443</v>
      </c>
      <c r="Q28" s="117">
        <f t="shared" ref="Q28" si="44">SUM(Q29:Q30)</f>
        <v>0</v>
      </c>
      <c r="R28" s="117">
        <f t="shared" ref="R28:T28" si="45">SUM(R29:R30)</f>
        <v>4315.4726000000001</v>
      </c>
      <c r="S28" s="117">
        <f t="shared" si="45"/>
        <v>0</v>
      </c>
      <c r="T28" s="117">
        <f t="shared" si="45"/>
        <v>4054.5970299999999</v>
      </c>
      <c r="U28" s="117">
        <f t="shared" ref="U28" si="46">SUM(U29:U30)</f>
        <v>0</v>
      </c>
      <c r="V28" s="117">
        <f t="shared" ref="V28:X28" si="47">SUM(V29:V30)</f>
        <v>3540.0670099999998</v>
      </c>
      <c r="W28" s="117">
        <f t="shared" si="47"/>
        <v>0</v>
      </c>
      <c r="X28" s="117">
        <f t="shared" si="47"/>
        <v>795.97153000000003</v>
      </c>
      <c r="Y28" s="117">
        <f t="shared" ref="Y28" si="48">SUM(Y29:Y30)</f>
        <v>0</v>
      </c>
      <c r="Z28" s="117">
        <f t="shared" ref="Z28:AB28" si="49">SUM(Z29:Z30)</f>
        <v>260.97153000000003</v>
      </c>
      <c r="AA28" s="117">
        <f t="shared" si="49"/>
        <v>0</v>
      </c>
      <c r="AB28" s="117">
        <f t="shared" si="49"/>
        <v>157.40111999999999</v>
      </c>
      <c r="AC28" s="117">
        <f t="shared" ref="AC28" si="50">SUM(AC29:AC30)</f>
        <v>0</v>
      </c>
      <c r="AD28" s="117">
        <f t="shared" ref="AD28:AE28" si="51">SUM(AD29:AD30)</f>
        <v>40.125</v>
      </c>
      <c r="AE28" s="117">
        <f t="shared" si="51"/>
        <v>0</v>
      </c>
      <c r="AF28" s="129"/>
      <c r="AG28" s="68"/>
      <c r="AH28" s="37"/>
    </row>
    <row r="29" spans="1:35" s="36" customFormat="1" ht="24" hidden="1" customHeight="1" x14ac:dyDescent="0.25">
      <c r="A29" s="118" t="s">
        <v>102</v>
      </c>
      <c r="B29" s="119">
        <f>H29+J29+L29+N29+P29+R29+T29+V29+X29+Z29+AB29+AD29</f>
        <v>1926</v>
      </c>
      <c r="C29" s="119">
        <f>C14+C18+C22+C26</f>
        <v>0</v>
      </c>
      <c r="D29" s="119">
        <f>D14+D18+D22+D26</f>
        <v>0</v>
      </c>
      <c r="E29" s="120">
        <f>I29+K29+M29+O29+Q29+S29+U29+W29+Y29+AA29+AC29+AE29</f>
        <v>0</v>
      </c>
      <c r="F29" s="121">
        <f t="shared" ref="F29" si="52">E29/B29</f>
        <v>0</v>
      </c>
      <c r="G29" s="135" t="e">
        <f t="shared" si="36"/>
        <v>#DIV/0!</v>
      </c>
      <c r="H29" s="119">
        <f>H14+H18+H22+H26</f>
        <v>0</v>
      </c>
      <c r="I29" s="119">
        <f t="shared" ref="I29:AE29" si="53">I14+I18+I22+I26</f>
        <v>0</v>
      </c>
      <c r="J29" s="119">
        <f t="shared" si="53"/>
        <v>0</v>
      </c>
      <c r="K29" s="119">
        <f t="shared" si="53"/>
        <v>0</v>
      </c>
      <c r="L29" s="119">
        <f t="shared" si="53"/>
        <v>45.475000000000001</v>
      </c>
      <c r="M29" s="119">
        <f t="shared" si="53"/>
        <v>0</v>
      </c>
      <c r="N29" s="119">
        <f t="shared" si="53"/>
        <v>48.15</v>
      </c>
      <c r="O29" s="119">
        <f t="shared" si="53"/>
        <v>0</v>
      </c>
      <c r="P29" s="119">
        <f t="shared" si="53"/>
        <v>40.125</v>
      </c>
      <c r="Q29" s="119">
        <f t="shared" si="53"/>
        <v>0</v>
      </c>
      <c r="R29" s="119">
        <f t="shared" si="53"/>
        <v>40.125</v>
      </c>
      <c r="S29" s="119">
        <f t="shared" si="53"/>
        <v>0</v>
      </c>
      <c r="T29" s="119">
        <f t="shared" si="53"/>
        <v>561.75</v>
      </c>
      <c r="U29" s="119">
        <f t="shared" si="53"/>
        <v>0</v>
      </c>
      <c r="V29" s="119">
        <f t="shared" si="53"/>
        <v>535</v>
      </c>
      <c r="W29" s="119">
        <f t="shared" si="53"/>
        <v>0</v>
      </c>
      <c r="X29" s="119">
        <f t="shared" si="53"/>
        <v>535</v>
      </c>
      <c r="Y29" s="119">
        <f t="shared" si="53"/>
        <v>0</v>
      </c>
      <c r="Z29" s="119">
        <f t="shared" si="53"/>
        <v>40.125</v>
      </c>
      <c r="AA29" s="119">
        <f t="shared" si="53"/>
        <v>0</v>
      </c>
      <c r="AB29" s="119">
        <f t="shared" si="53"/>
        <v>40.125</v>
      </c>
      <c r="AC29" s="119">
        <f t="shared" si="53"/>
        <v>0</v>
      </c>
      <c r="AD29" s="119">
        <f t="shared" si="53"/>
        <v>40.125</v>
      </c>
      <c r="AE29" s="119">
        <f t="shared" si="53"/>
        <v>0</v>
      </c>
      <c r="AF29" s="110"/>
      <c r="AG29" s="68"/>
      <c r="AH29" s="37"/>
    </row>
    <row r="30" spans="1:35" s="36" customFormat="1" ht="24" hidden="1" customHeight="1" x14ac:dyDescent="0.25">
      <c r="A30" s="118" t="s">
        <v>103</v>
      </c>
      <c r="B30" s="119">
        <f>H30+J30+L30+N30+P30+R30+T30+V30+X30+Z30+AB30+AD30</f>
        <v>13104.4</v>
      </c>
      <c r="C30" s="119">
        <f>C15+C19+C23+C27</f>
        <v>339.91197999999997</v>
      </c>
      <c r="D30" s="119">
        <f>D15+D19+D23+D27</f>
        <v>339.91197999999997</v>
      </c>
      <c r="E30" s="120">
        <f>I30+K30+M30+O30+Q30+S30+U30+W30+Y30+AA30+AC30+AE30</f>
        <v>339.91197999999997</v>
      </c>
      <c r="F30" s="121">
        <f>E30/B30</f>
        <v>2.5938767131650435E-2</v>
      </c>
      <c r="G30" s="123">
        <f t="shared" si="36"/>
        <v>1</v>
      </c>
      <c r="H30" s="119">
        <f>H15+H19+H23+H27</f>
        <v>0</v>
      </c>
      <c r="I30" s="119">
        <f t="shared" ref="I30:AE30" si="54">I15+I19+I23+I27</f>
        <v>0</v>
      </c>
      <c r="J30" s="119">
        <f t="shared" si="54"/>
        <v>339.91197999999997</v>
      </c>
      <c r="K30" s="119">
        <f t="shared" si="54"/>
        <v>339.91197999999997</v>
      </c>
      <c r="L30" s="119">
        <f t="shared" si="54"/>
        <v>292.26155</v>
      </c>
      <c r="M30" s="119">
        <f t="shared" si="54"/>
        <v>0</v>
      </c>
      <c r="N30" s="119">
        <f t="shared" si="54"/>
        <v>850.91122000000007</v>
      </c>
      <c r="O30" s="119">
        <f t="shared" si="54"/>
        <v>0</v>
      </c>
      <c r="P30" s="119">
        <f t="shared" si="54"/>
        <v>248.95943</v>
      </c>
      <c r="Q30" s="119">
        <f t="shared" si="54"/>
        <v>0</v>
      </c>
      <c r="R30" s="119">
        <f t="shared" si="54"/>
        <v>4275.3476000000001</v>
      </c>
      <c r="S30" s="119">
        <f t="shared" si="54"/>
        <v>0</v>
      </c>
      <c r="T30" s="119">
        <f t="shared" si="54"/>
        <v>3492.8470299999999</v>
      </c>
      <c r="U30" s="119">
        <f t="shared" si="54"/>
        <v>0</v>
      </c>
      <c r="V30" s="119">
        <f t="shared" si="54"/>
        <v>3005.0670099999998</v>
      </c>
      <c r="W30" s="119">
        <f t="shared" si="54"/>
        <v>0</v>
      </c>
      <c r="X30" s="119">
        <f t="shared" si="54"/>
        <v>260.97152999999997</v>
      </c>
      <c r="Y30" s="119">
        <f t="shared" si="54"/>
        <v>0</v>
      </c>
      <c r="Z30" s="119">
        <f t="shared" si="54"/>
        <v>220.84653</v>
      </c>
      <c r="AA30" s="119">
        <f t="shared" si="54"/>
        <v>0</v>
      </c>
      <c r="AB30" s="119">
        <f t="shared" si="54"/>
        <v>117.27611999999999</v>
      </c>
      <c r="AC30" s="119">
        <f t="shared" si="54"/>
        <v>0</v>
      </c>
      <c r="AD30" s="119">
        <f t="shared" si="54"/>
        <v>0</v>
      </c>
      <c r="AE30" s="119">
        <f t="shared" si="54"/>
        <v>0</v>
      </c>
      <c r="AF30" s="110"/>
      <c r="AG30" s="68"/>
      <c r="AH30" s="37"/>
    </row>
    <row r="31" spans="1:35" s="36" customFormat="1" ht="32.25" customHeight="1" x14ac:dyDescent="0.25">
      <c r="A31" s="215" t="s">
        <v>123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7"/>
      <c r="AF31" s="130"/>
      <c r="AH31" s="37"/>
    </row>
    <row r="32" spans="1:35" s="36" customFormat="1" ht="26.25" customHeight="1" x14ac:dyDescent="0.25">
      <c r="A32" s="133" t="s">
        <v>124</v>
      </c>
      <c r="B32" s="193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5"/>
      <c r="AF32" s="183"/>
      <c r="AG32" s="187"/>
      <c r="AH32" s="188"/>
      <c r="AI32" s="188"/>
    </row>
    <row r="33" spans="1:34" s="36" customFormat="1" ht="15.75" customHeight="1" x14ac:dyDescent="0.25">
      <c r="A33" s="60" t="s">
        <v>120</v>
      </c>
      <c r="B33" s="77">
        <f>SUM(B34:B35)</f>
        <v>3601.4</v>
      </c>
      <c r="C33" s="77">
        <f>SUM(C34:C35)</f>
        <v>0</v>
      </c>
      <c r="D33" s="77">
        <f t="shared" ref="D33" si="55">SUM(D34:D35)</f>
        <v>0</v>
      </c>
      <c r="E33" s="77">
        <f>SUM(E34:E35)</f>
        <v>0</v>
      </c>
      <c r="F33" s="72">
        <f>E33/B33</f>
        <v>0</v>
      </c>
      <c r="G33" s="136" t="e">
        <f>E33/C33</f>
        <v>#DIV/0!</v>
      </c>
      <c r="H33" s="77">
        <f>SUM(H34:H35)</f>
        <v>0</v>
      </c>
      <c r="I33" s="77">
        <f t="shared" ref="I33:AE33" si="56">SUM(I34:I35)</f>
        <v>0</v>
      </c>
      <c r="J33" s="77">
        <f t="shared" si="56"/>
        <v>0</v>
      </c>
      <c r="K33" s="77">
        <f t="shared" si="56"/>
        <v>0</v>
      </c>
      <c r="L33" s="77">
        <f t="shared" si="56"/>
        <v>0</v>
      </c>
      <c r="M33" s="77">
        <f t="shared" si="56"/>
        <v>0</v>
      </c>
      <c r="N33" s="77">
        <f t="shared" si="56"/>
        <v>94.754999999999995</v>
      </c>
      <c r="O33" s="77">
        <f t="shared" si="56"/>
        <v>0</v>
      </c>
      <c r="P33" s="77">
        <f t="shared" si="56"/>
        <v>335.036</v>
      </c>
      <c r="Q33" s="77">
        <f t="shared" si="56"/>
        <v>0</v>
      </c>
      <c r="R33" s="77">
        <f t="shared" si="56"/>
        <v>550.93600000000004</v>
      </c>
      <c r="S33" s="77">
        <f t="shared" si="56"/>
        <v>0</v>
      </c>
      <c r="T33" s="77">
        <f t="shared" si="56"/>
        <v>738.36799999999994</v>
      </c>
      <c r="U33" s="77">
        <f t="shared" si="56"/>
        <v>0</v>
      </c>
      <c r="V33" s="77">
        <f t="shared" si="56"/>
        <v>698.17200000000003</v>
      </c>
      <c r="W33" s="77">
        <f t="shared" si="56"/>
        <v>0</v>
      </c>
      <c r="X33" s="77">
        <f t="shared" si="56"/>
        <v>628.39200000000005</v>
      </c>
      <c r="Y33" s="77">
        <f t="shared" si="56"/>
        <v>0</v>
      </c>
      <c r="Z33" s="77">
        <f t="shared" si="56"/>
        <v>481.43899999999996</v>
      </c>
      <c r="AA33" s="77">
        <f t="shared" si="56"/>
        <v>0</v>
      </c>
      <c r="AB33" s="77">
        <f t="shared" si="56"/>
        <v>74.302000000000007</v>
      </c>
      <c r="AC33" s="77">
        <f t="shared" si="56"/>
        <v>0</v>
      </c>
      <c r="AD33" s="77">
        <f t="shared" si="56"/>
        <v>0</v>
      </c>
      <c r="AE33" s="77">
        <f t="shared" si="56"/>
        <v>0</v>
      </c>
      <c r="AF33" s="184"/>
      <c r="AG33" s="137"/>
      <c r="AH33" s="37"/>
    </row>
    <row r="34" spans="1:34" s="36" customFormat="1" ht="21.75" customHeight="1" x14ac:dyDescent="0.25">
      <c r="A34" s="67" t="s">
        <v>102</v>
      </c>
      <c r="B34" s="81">
        <f>H34+J34+L34+N34+P34+R34+T34+V34+X34+Z34+AB34+AD34</f>
        <v>674.4</v>
      </c>
      <c r="C34" s="75">
        <f>H34+J34</f>
        <v>0</v>
      </c>
      <c r="D34" s="75"/>
      <c r="E34" s="82">
        <f>I34+K34+M34+O34+Q34+S34+U34+W34+Y34+AA34+AC34+AE34</f>
        <v>0</v>
      </c>
      <c r="F34" s="123">
        <f>E34/B34</f>
        <v>0</v>
      </c>
      <c r="G34" s="135" t="e">
        <f>E34/C34</f>
        <v>#DIV/0!</v>
      </c>
      <c r="H34" s="70"/>
      <c r="I34" s="70"/>
      <c r="J34" s="70"/>
      <c r="K34" s="70"/>
      <c r="L34" s="70"/>
      <c r="M34" s="70"/>
      <c r="N34" s="70"/>
      <c r="O34" s="70"/>
      <c r="P34" s="70">
        <f>53384/1000</f>
        <v>53.384</v>
      </c>
      <c r="Q34" s="70"/>
      <c r="R34" s="70">
        <f>154544/1000</f>
        <v>154.54400000000001</v>
      </c>
      <c r="S34" s="70"/>
      <c r="T34" s="70">
        <f>137684/1000</f>
        <v>137.684</v>
      </c>
      <c r="U34" s="70"/>
      <c r="V34" s="70">
        <f>137684/1000</f>
        <v>137.684</v>
      </c>
      <c r="W34" s="70"/>
      <c r="X34" s="70">
        <f>103964/1000</f>
        <v>103.964</v>
      </c>
      <c r="Y34" s="70"/>
      <c r="Z34" s="70">
        <f>87140/1000</f>
        <v>87.14</v>
      </c>
      <c r="AA34" s="70"/>
      <c r="AB34" s="70"/>
      <c r="AC34" s="70"/>
      <c r="AD34" s="70"/>
      <c r="AE34" s="70"/>
      <c r="AF34" s="184"/>
      <c r="AG34" s="137"/>
      <c r="AH34" s="37"/>
    </row>
    <row r="35" spans="1:34" s="36" customFormat="1" ht="22.5" customHeight="1" x14ac:dyDescent="0.25">
      <c r="A35" s="67" t="s">
        <v>103</v>
      </c>
      <c r="B35" s="81">
        <f>H35+J35+L35+N35+P35+R35+T35+V35+X35+Z35+AB35+AD35</f>
        <v>2927</v>
      </c>
      <c r="C35" s="75">
        <f>H35+J35</f>
        <v>0</v>
      </c>
      <c r="D35" s="75"/>
      <c r="E35" s="82">
        <f>I35+K35+M35+O35+Q35+S35+U35+W35+Y35+AA35+AC35+AE35</f>
        <v>0</v>
      </c>
      <c r="F35" s="123">
        <f>E35/B35</f>
        <v>0</v>
      </c>
      <c r="G35" s="135" t="e">
        <f>E35/C35</f>
        <v>#DIV/0!</v>
      </c>
      <c r="H35" s="70"/>
      <c r="I35" s="70"/>
      <c r="J35" s="70"/>
      <c r="K35" s="70"/>
      <c r="L35" s="70"/>
      <c r="M35" s="70"/>
      <c r="N35" s="70">
        <f>94755/1000</f>
        <v>94.754999999999995</v>
      </c>
      <c r="O35" s="70"/>
      <c r="P35" s="70">
        <f>281652/1000</f>
        <v>281.65199999999999</v>
      </c>
      <c r="Q35" s="70"/>
      <c r="R35" s="70">
        <f>396392/1000</f>
        <v>396.392</v>
      </c>
      <c r="S35" s="70"/>
      <c r="T35" s="70">
        <f>600684/1000</f>
        <v>600.68399999999997</v>
      </c>
      <c r="U35" s="70"/>
      <c r="V35" s="70">
        <f>560488/1000</f>
        <v>560.48800000000006</v>
      </c>
      <c r="W35" s="70"/>
      <c r="X35" s="70">
        <f>524428/1000</f>
        <v>524.428</v>
      </c>
      <c r="Y35" s="70"/>
      <c r="Z35" s="70">
        <f>394299/1000</f>
        <v>394.29899999999998</v>
      </c>
      <c r="AA35" s="70"/>
      <c r="AB35" s="70">
        <f>74302/1000</f>
        <v>74.302000000000007</v>
      </c>
      <c r="AC35" s="70"/>
      <c r="AD35" s="70"/>
      <c r="AE35" s="70"/>
      <c r="AF35" s="184"/>
      <c r="AG35" s="137"/>
      <c r="AH35" s="37"/>
    </row>
    <row r="36" spans="1:34" s="36" customFormat="1" ht="22.5" customHeight="1" x14ac:dyDescent="0.25">
      <c r="A36" s="134" t="s">
        <v>122</v>
      </c>
      <c r="B36" s="196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8"/>
      <c r="AF36" s="183" t="s">
        <v>148</v>
      </c>
      <c r="AH36" s="37"/>
    </row>
    <row r="37" spans="1:34" s="36" customFormat="1" ht="15.75" customHeight="1" x14ac:dyDescent="0.25">
      <c r="A37" s="60" t="s">
        <v>120</v>
      </c>
      <c r="B37" s="77">
        <f>SUM(B38:B39)</f>
        <v>760.10000000000014</v>
      </c>
      <c r="C37" s="77">
        <f t="shared" ref="C37:D37" si="57">SUM(C38:C39)</f>
        <v>155.68136000000001</v>
      </c>
      <c r="D37" s="77">
        <f t="shared" si="57"/>
        <v>138.82137</v>
      </c>
      <c r="E37" s="77">
        <f>SUM(E38:E39)</f>
        <v>93.97999999999999</v>
      </c>
      <c r="F37" s="72">
        <f>E37/B37</f>
        <v>0.12364162610182867</v>
      </c>
      <c r="G37" s="72">
        <f>E37/C37</f>
        <v>0.60366892992198928</v>
      </c>
      <c r="H37" s="77">
        <f>SUM(H38:H39)</f>
        <v>32.01952</v>
      </c>
      <c r="I37" s="77">
        <f t="shared" ref="I37:AE37" si="58">SUM(I38:I39)</f>
        <v>10.93</v>
      </c>
      <c r="J37" s="77">
        <f t="shared" si="58"/>
        <v>123.66184000000001</v>
      </c>
      <c r="K37" s="77">
        <f t="shared" si="58"/>
        <v>83.05</v>
      </c>
      <c r="L37" s="77">
        <f t="shared" si="58"/>
        <v>87.858400000000017</v>
      </c>
      <c r="M37" s="77">
        <f t="shared" si="58"/>
        <v>0</v>
      </c>
      <c r="N37" s="77">
        <f t="shared" si="58"/>
        <v>74.768040000000013</v>
      </c>
      <c r="O37" s="77">
        <f t="shared" si="58"/>
        <v>0</v>
      </c>
      <c r="P37" s="77">
        <f t="shared" si="58"/>
        <v>71.830010000000001</v>
      </c>
      <c r="Q37" s="77">
        <f t="shared" si="58"/>
        <v>0</v>
      </c>
      <c r="R37" s="77">
        <f t="shared" si="58"/>
        <v>75.181839999999994</v>
      </c>
      <c r="S37" s="77">
        <f t="shared" si="58"/>
        <v>0</v>
      </c>
      <c r="T37" s="77">
        <f t="shared" si="58"/>
        <v>54.849340000000005</v>
      </c>
      <c r="U37" s="77">
        <f t="shared" si="58"/>
        <v>0</v>
      </c>
      <c r="V37" s="77">
        <f t="shared" si="58"/>
        <v>0</v>
      </c>
      <c r="W37" s="77">
        <f t="shared" si="58"/>
        <v>0</v>
      </c>
      <c r="X37" s="77">
        <f t="shared" si="58"/>
        <v>71.830010000000001</v>
      </c>
      <c r="Y37" s="77">
        <f t="shared" si="58"/>
        <v>0</v>
      </c>
      <c r="Z37" s="77">
        <f t="shared" si="58"/>
        <v>74.385469999999998</v>
      </c>
      <c r="AA37" s="77">
        <f t="shared" si="58"/>
        <v>0</v>
      </c>
      <c r="AB37" s="77">
        <f t="shared" si="58"/>
        <v>70.390309999999999</v>
      </c>
      <c r="AC37" s="77">
        <f t="shared" si="58"/>
        <v>0</v>
      </c>
      <c r="AD37" s="77">
        <f t="shared" si="58"/>
        <v>23.325220000000002</v>
      </c>
      <c r="AE37" s="77">
        <f t="shared" si="58"/>
        <v>0</v>
      </c>
      <c r="AF37" s="184"/>
      <c r="AG37" s="137"/>
      <c r="AH37" s="37"/>
    </row>
    <row r="38" spans="1:34" s="36" customFormat="1" ht="36" customHeight="1" x14ac:dyDescent="0.25">
      <c r="A38" s="67" t="s">
        <v>102</v>
      </c>
      <c r="B38" s="81">
        <f>H38+J38+L38+N38+P38+R38+T38+V38+X38+Z38+AB38+AD38</f>
        <v>168.60000000000008</v>
      </c>
      <c r="C38" s="75">
        <f>H38+J38</f>
        <v>16.859990000000003</v>
      </c>
      <c r="D38" s="75"/>
      <c r="E38" s="82">
        <f>I38+K38+M38+O38+Q38+S38+U38+W38+Y38+AA38+AC38+AE38</f>
        <v>0</v>
      </c>
      <c r="F38" s="123">
        <f>E38/B38</f>
        <v>0</v>
      </c>
      <c r="G38" s="123">
        <f>E38/C38</f>
        <v>0</v>
      </c>
      <c r="H38" s="70"/>
      <c r="I38" s="70"/>
      <c r="J38" s="70">
        <f>16859.99/1000</f>
        <v>16.859990000000003</v>
      </c>
      <c r="K38" s="70"/>
      <c r="L38" s="70">
        <f>16859.99/1000</f>
        <v>16.859990000000003</v>
      </c>
      <c r="M38" s="70"/>
      <c r="N38" s="70">
        <f>16859.99/1000</f>
        <v>16.859990000000003</v>
      </c>
      <c r="O38" s="70"/>
      <c r="P38" s="70">
        <f>16859.99/1000</f>
        <v>16.859990000000003</v>
      </c>
      <c r="Q38" s="70"/>
      <c r="R38" s="70">
        <f>16859.99/1000</f>
        <v>16.859990000000003</v>
      </c>
      <c r="S38" s="70"/>
      <c r="T38" s="70">
        <f>16859.99/1000</f>
        <v>16.859990000000003</v>
      </c>
      <c r="U38" s="70"/>
      <c r="V38" s="70"/>
      <c r="W38" s="70"/>
      <c r="X38" s="70">
        <f>16859.99/1000</f>
        <v>16.859990000000003</v>
      </c>
      <c r="Y38" s="70"/>
      <c r="Z38" s="70">
        <f>16859.99/1000</f>
        <v>16.859990000000003</v>
      </c>
      <c r="AA38" s="70"/>
      <c r="AB38" s="70">
        <f>16859.99/1000</f>
        <v>16.859990000000003</v>
      </c>
      <c r="AC38" s="70"/>
      <c r="AD38" s="70">
        <f>16860.09/1000</f>
        <v>16.86009</v>
      </c>
      <c r="AE38" s="70"/>
      <c r="AF38" s="184"/>
      <c r="AG38" s="137"/>
      <c r="AH38" s="37"/>
    </row>
    <row r="39" spans="1:34" s="36" customFormat="1" ht="71.25" customHeight="1" x14ac:dyDescent="0.25">
      <c r="A39" s="67" t="s">
        <v>103</v>
      </c>
      <c r="B39" s="81">
        <f>H39+J39+L39+N39+P39+R39+T39+V39+X39+Z39+AB39+AD39</f>
        <v>591.5</v>
      </c>
      <c r="C39" s="75">
        <f>H39+J39</f>
        <v>138.82137</v>
      </c>
      <c r="D39" s="75">
        <f>C39</f>
        <v>138.82137</v>
      </c>
      <c r="E39" s="82">
        <f>I39+K39+M39+O39+Q39+S39+U39+W39+Y39+AA39+AC39+AE39</f>
        <v>93.97999999999999</v>
      </c>
      <c r="F39" s="123">
        <f>E39/B39</f>
        <v>0.15888419273034657</v>
      </c>
      <c r="G39" s="123">
        <f>E39/C39</f>
        <v>0.67698510683189472</v>
      </c>
      <c r="H39" s="70">
        <f>32019.52/1000</f>
        <v>32.01952</v>
      </c>
      <c r="I39" s="70">
        <v>10.93</v>
      </c>
      <c r="J39" s="70">
        <f>106801.85/1000</f>
        <v>106.80185</v>
      </c>
      <c r="K39" s="70">
        <v>83.05</v>
      </c>
      <c r="L39" s="70">
        <f>70998.41/1000</f>
        <v>70.998410000000007</v>
      </c>
      <c r="M39" s="70"/>
      <c r="N39" s="70">
        <f>57908.05/1000</f>
        <v>57.908050000000003</v>
      </c>
      <c r="O39" s="70"/>
      <c r="P39" s="70">
        <f>54970.02/1000</f>
        <v>54.970019999999998</v>
      </c>
      <c r="Q39" s="70"/>
      <c r="R39" s="70">
        <f>58321.85/1000</f>
        <v>58.321849999999998</v>
      </c>
      <c r="S39" s="70"/>
      <c r="T39" s="70">
        <f>37989.35/1000</f>
        <v>37.989350000000002</v>
      </c>
      <c r="U39" s="70"/>
      <c r="V39" s="70"/>
      <c r="W39" s="70"/>
      <c r="X39" s="70">
        <f>54970.02/1000</f>
        <v>54.970019999999998</v>
      </c>
      <c r="Y39" s="70"/>
      <c r="Z39" s="70">
        <f>57525.48/1000</f>
        <v>57.525480000000002</v>
      </c>
      <c r="AA39" s="70"/>
      <c r="AB39" s="70">
        <f>53530.32/1000</f>
        <v>53.530320000000003</v>
      </c>
      <c r="AC39" s="70"/>
      <c r="AD39" s="70">
        <f>6465.13/1000</f>
        <v>6.4651300000000003</v>
      </c>
      <c r="AE39" s="70"/>
      <c r="AF39" s="184"/>
      <c r="AG39" s="137"/>
      <c r="AH39" s="37"/>
    </row>
    <row r="40" spans="1:34" s="36" customFormat="1" ht="59.25" customHeight="1" x14ac:dyDescent="0.25">
      <c r="A40" s="134" t="s">
        <v>142</v>
      </c>
      <c r="B40" s="196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8"/>
      <c r="AF40" s="185"/>
      <c r="AH40" s="37"/>
    </row>
    <row r="41" spans="1:34" s="36" customFormat="1" ht="15.75" customHeight="1" x14ac:dyDescent="0.25">
      <c r="A41" s="60" t="s">
        <v>120</v>
      </c>
      <c r="B41" s="77">
        <f>SUM(B42:B43)</f>
        <v>1714.5</v>
      </c>
      <c r="C41" s="77">
        <f t="shared" ref="C41:D41" si="59">SUM(C42:C43)</f>
        <v>0</v>
      </c>
      <c r="D41" s="77">
        <f t="shared" si="59"/>
        <v>0</v>
      </c>
      <c r="E41" s="77">
        <f>SUM(E42:E43)</f>
        <v>0</v>
      </c>
      <c r="F41" s="72">
        <f>E41/B41</f>
        <v>0</v>
      </c>
      <c r="G41" s="72" t="e">
        <f t="shared" ref="G41:G46" si="60">E41/C41</f>
        <v>#DIV/0!</v>
      </c>
      <c r="H41" s="77">
        <f t="shared" ref="H41:AE41" si="61">SUM(H42:H43)</f>
        <v>0</v>
      </c>
      <c r="I41" s="77">
        <f t="shared" si="61"/>
        <v>0</v>
      </c>
      <c r="J41" s="77">
        <f t="shared" si="61"/>
        <v>0</v>
      </c>
      <c r="K41" s="77">
        <f t="shared" si="61"/>
        <v>0</v>
      </c>
      <c r="L41" s="77">
        <f t="shared" si="61"/>
        <v>0</v>
      </c>
      <c r="M41" s="77">
        <f t="shared" si="61"/>
        <v>0</v>
      </c>
      <c r="N41" s="77">
        <f t="shared" si="61"/>
        <v>0</v>
      </c>
      <c r="O41" s="77">
        <f t="shared" si="61"/>
        <v>0</v>
      </c>
      <c r="P41" s="77">
        <f t="shared" si="61"/>
        <v>0</v>
      </c>
      <c r="Q41" s="77">
        <f t="shared" si="61"/>
        <v>0</v>
      </c>
      <c r="R41" s="77">
        <f t="shared" si="61"/>
        <v>0</v>
      </c>
      <c r="S41" s="77">
        <f t="shared" si="61"/>
        <v>0</v>
      </c>
      <c r="T41" s="77">
        <f t="shared" si="61"/>
        <v>1714.5</v>
      </c>
      <c r="U41" s="77">
        <f t="shared" si="61"/>
        <v>0</v>
      </c>
      <c r="V41" s="77">
        <f t="shared" si="61"/>
        <v>0</v>
      </c>
      <c r="W41" s="77">
        <f t="shared" si="61"/>
        <v>0</v>
      </c>
      <c r="X41" s="77">
        <f t="shared" si="61"/>
        <v>0</v>
      </c>
      <c r="Y41" s="77">
        <f t="shared" si="61"/>
        <v>0</v>
      </c>
      <c r="Z41" s="77">
        <f t="shared" si="61"/>
        <v>0</v>
      </c>
      <c r="AA41" s="77">
        <f t="shared" si="61"/>
        <v>0</v>
      </c>
      <c r="AB41" s="77">
        <f t="shared" si="61"/>
        <v>0</v>
      </c>
      <c r="AC41" s="77">
        <f t="shared" si="61"/>
        <v>0</v>
      </c>
      <c r="AD41" s="77">
        <f t="shared" si="61"/>
        <v>0</v>
      </c>
      <c r="AE41" s="77">
        <f t="shared" si="61"/>
        <v>0</v>
      </c>
      <c r="AF41" s="186"/>
      <c r="AG41" s="137"/>
      <c r="AH41" s="37"/>
    </row>
    <row r="42" spans="1:34" s="36" customFormat="1" ht="21.75" customHeight="1" x14ac:dyDescent="0.25">
      <c r="A42" s="67" t="s">
        <v>102</v>
      </c>
      <c r="B42" s="81">
        <f>H42+J42+L42+N42+P42+R42+T42+V42+X42+Z42+AB42+AD42</f>
        <v>32.1</v>
      </c>
      <c r="C42" s="75">
        <f>H42+J42</f>
        <v>0</v>
      </c>
      <c r="D42" s="75"/>
      <c r="E42" s="82">
        <f>I42+K42+M42+O42+Q42+S42+U42+W42+Y42+AA42+AC42+AE42</f>
        <v>0</v>
      </c>
      <c r="F42" s="123">
        <f t="shared" ref="F42:F44" si="62">E42/B42</f>
        <v>0</v>
      </c>
      <c r="G42" s="123" t="e">
        <f t="shared" si="60"/>
        <v>#DIV/0!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>
        <f>32100/1000</f>
        <v>32.1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186"/>
      <c r="AG42" s="137"/>
      <c r="AH42" s="37"/>
    </row>
    <row r="43" spans="1:34" s="36" customFormat="1" ht="22.5" customHeight="1" x14ac:dyDescent="0.25">
      <c r="A43" s="67" t="s">
        <v>103</v>
      </c>
      <c r="B43" s="81">
        <f>H43+J43+L43+N43+P43+R43+T43+V43+X43+Z43+AB43+AD43</f>
        <v>1682.4</v>
      </c>
      <c r="C43" s="75">
        <f>H43+J43</f>
        <v>0</v>
      </c>
      <c r="D43" s="75"/>
      <c r="E43" s="82">
        <f>I43+K43+M43+O43+Q43+S43+U43+W43+Y43+AA43+AC43+AE43</f>
        <v>0</v>
      </c>
      <c r="F43" s="123">
        <f t="shared" si="62"/>
        <v>0</v>
      </c>
      <c r="G43" s="123" t="e">
        <f t="shared" si="60"/>
        <v>#DIV/0!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>
        <f>1682400/1000</f>
        <v>1682.4</v>
      </c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186"/>
      <c r="AG43" s="137"/>
      <c r="AH43" s="37"/>
    </row>
    <row r="44" spans="1:34" s="36" customFormat="1" ht="21.75" customHeight="1" x14ac:dyDescent="0.3">
      <c r="A44" s="125" t="s">
        <v>121</v>
      </c>
      <c r="B44" s="77">
        <f>SUM(B45:B46)</f>
        <v>6076</v>
      </c>
      <c r="C44" s="77">
        <f t="shared" ref="C44" si="63">SUM(C45:C46)</f>
        <v>155.68136000000001</v>
      </c>
      <c r="D44" s="77">
        <f>SUM(D45:D46)</f>
        <v>138.82137</v>
      </c>
      <c r="E44" s="77">
        <f>SUM(E45:E46)</f>
        <v>93.97999999999999</v>
      </c>
      <c r="F44" s="72">
        <f t="shared" si="62"/>
        <v>1.5467412771560236E-2</v>
      </c>
      <c r="G44" s="72">
        <f t="shared" si="60"/>
        <v>0.60366892992198928</v>
      </c>
      <c r="H44" s="77">
        <f>SUM(H45:H46)</f>
        <v>32.01952</v>
      </c>
      <c r="I44" s="77">
        <f t="shared" ref="I44:AE44" si="64">SUM(I45:I46)</f>
        <v>10.93</v>
      </c>
      <c r="J44" s="77">
        <f t="shared" si="64"/>
        <v>123.66184000000001</v>
      </c>
      <c r="K44" s="77">
        <f t="shared" si="64"/>
        <v>83.05</v>
      </c>
      <c r="L44" s="77">
        <f t="shared" si="64"/>
        <v>87.858400000000017</v>
      </c>
      <c r="M44" s="77">
        <f t="shared" si="64"/>
        <v>0</v>
      </c>
      <c r="N44" s="77">
        <f t="shared" si="64"/>
        <v>169.52304000000001</v>
      </c>
      <c r="O44" s="77">
        <f t="shared" si="64"/>
        <v>0</v>
      </c>
      <c r="P44" s="77">
        <f t="shared" si="64"/>
        <v>406.86600999999996</v>
      </c>
      <c r="Q44" s="77">
        <f t="shared" si="64"/>
        <v>0</v>
      </c>
      <c r="R44" s="77">
        <f t="shared" si="64"/>
        <v>626.11784</v>
      </c>
      <c r="S44" s="77">
        <f t="shared" si="64"/>
        <v>0</v>
      </c>
      <c r="T44" s="77">
        <f t="shared" si="64"/>
        <v>2507.7173400000001</v>
      </c>
      <c r="U44" s="77">
        <f t="shared" si="64"/>
        <v>0</v>
      </c>
      <c r="V44" s="77">
        <f t="shared" si="64"/>
        <v>698.17200000000003</v>
      </c>
      <c r="W44" s="77">
        <f t="shared" si="64"/>
        <v>0</v>
      </c>
      <c r="X44" s="77">
        <f t="shared" si="64"/>
        <v>700.22200999999995</v>
      </c>
      <c r="Y44" s="77">
        <f t="shared" si="64"/>
        <v>0</v>
      </c>
      <c r="Z44" s="77">
        <f t="shared" si="64"/>
        <v>555.82447000000002</v>
      </c>
      <c r="AA44" s="77">
        <f t="shared" si="64"/>
        <v>0</v>
      </c>
      <c r="AB44" s="77">
        <f t="shared" si="64"/>
        <v>144.69231000000002</v>
      </c>
      <c r="AC44" s="77">
        <f t="shared" si="64"/>
        <v>0</v>
      </c>
      <c r="AD44" s="77">
        <f t="shared" si="64"/>
        <v>23.325220000000002</v>
      </c>
      <c r="AE44" s="77">
        <f t="shared" si="64"/>
        <v>0</v>
      </c>
      <c r="AF44" s="111"/>
      <c r="AG44" s="137"/>
      <c r="AH44" s="37"/>
    </row>
    <row r="45" spans="1:34" s="36" customFormat="1" ht="28.5" customHeight="1" x14ac:dyDescent="0.25">
      <c r="A45" s="126" t="s">
        <v>102</v>
      </c>
      <c r="B45" s="81">
        <f>H45+J45+L45+N45+P45+R45+T45+V45+X45+Z45+AB45+AD45</f>
        <v>875.1</v>
      </c>
      <c r="C45" s="127">
        <f>C34+C38+C42</f>
        <v>16.859990000000003</v>
      </c>
      <c r="D45" s="127">
        <f>D34+D38+D42</f>
        <v>0</v>
      </c>
      <c r="E45" s="82">
        <f>I45+K45+M45+O45+Q45+S45+U45+W45+Y45+AA45+AC45+AE45</f>
        <v>0</v>
      </c>
      <c r="F45" s="123">
        <f t="shared" ref="F45:F46" si="65">E45/B45</f>
        <v>0</v>
      </c>
      <c r="G45" s="123">
        <f t="shared" si="60"/>
        <v>0</v>
      </c>
      <c r="H45" s="127">
        <f>H34+H38+H42</f>
        <v>0</v>
      </c>
      <c r="I45" s="127">
        <f t="shared" ref="I45:AE45" si="66">I34+I38+I42</f>
        <v>0</v>
      </c>
      <c r="J45" s="127">
        <f t="shared" si="66"/>
        <v>16.859990000000003</v>
      </c>
      <c r="K45" s="127">
        <f t="shared" si="66"/>
        <v>0</v>
      </c>
      <c r="L45" s="127">
        <f t="shared" si="66"/>
        <v>16.859990000000003</v>
      </c>
      <c r="M45" s="127">
        <f t="shared" si="66"/>
        <v>0</v>
      </c>
      <c r="N45" s="127">
        <f t="shared" si="66"/>
        <v>16.859990000000003</v>
      </c>
      <c r="O45" s="127">
        <f t="shared" si="66"/>
        <v>0</v>
      </c>
      <c r="P45" s="127">
        <f t="shared" si="66"/>
        <v>70.243989999999997</v>
      </c>
      <c r="Q45" s="127">
        <f t="shared" si="66"/>
        <v>0</v>
      </c>
      <c r="R45" s="127">
        <f t="shared" si="66"/>
        <v>171.40399000000002</v>
      </c>
      <c r="S45" s="127">
        <f t="shared" si="66"/>
        <v>0</v>
      </c>
      <c r="T45" s="127">
        <f t="shared" si="66"/>
        <v>186.64399</v>
      </c>
      <c r="U45" s="127">
        <f t="shared" si="66"/>
        <v>0</v>
      </c>
      <c r="V45" s="127">
        <f t="shared" si="66"/>
        <v>137.684</v>
      </c>
      <c r="W45" s="127">
        <f t="shared" si="66"/>
        <v>0</v>
      </c>
      <c r="X45" s="127">
        <f t="shared" si="66"/>
        <v>120.82399000000001</v>
      </c>
      <c r="Y45" s="127">
        <f t="shared" si="66"/>
        <v>0</v>
      </c>
      <c r="Z45" s="127">
        <f t="shared" si="66"/>
        <v>103.99999</v>
      </c>
      <c r="AA45" s="127">
        <f t="shared" si="66"/>
        <v>0</v>
      </c>
      <c r="AB45" s="127">
        <f t="shared" si="66"/>
        <v>16.859990000000003</v>
      </c>
      <c r="AC45" s="127">
        <f t="shared" si="66"/>
        <v>0</v>
      </c>
      <c r="AD45" s="127">
        <f t="shared" si="66"/>
        <v>16.86009</v>
      </c>
      <c r="AE45" s="127">
        <f t="shared" si="66"/>
        <v>0</v>
      </c>
      <c r="AF45" s="76"/>
      <c r="AG45" s="137"/>
      <c r="AH45" s="37"/>
    </row>
    <row r="46" spans="1:34" s="34" customFormat="1" ht="26.25" customHeight="1" x14ac:dyDescent="0.25">
      <c r="A46" s="126" t="s">
        <v>103</v>
      </c>
      <c r="B46" s="81">
        <f>H46+J46+L46+N46+P46+R46+T46+V46+X46+Z46+AB46+AD46</f>
        <v>5200.8999999999996</v>
      </c>
      <c r="C46" s="127">
        <f>C35+C39+C43</f>
        <v>138.82137</v>
      </c>
      <c r="D46" s="127">
        <f>D35+D39+D43</f>
        <v>138.82137</v>
      </c>
      <c r="E46" s="82">
        <f>I46+K46+M46+O46+Q46+S46+U46+W46+Y46+AA46+AC46+AE46</f>
        <v>93.97999999999999</v>
      </c>
      <c r="F46" s="123">
        <f t="shared" si="65"/>
        <v>1.8069949431829106E-2</v>
      </c>
      <c r="G46" s="123">
        <f t="shared" si="60"/>
        <v>0.67698510683189472</v>
      </c>
      <c r="H46" s="127">
        <f>H35+H39+H43</f>
        <v>32.01952</v>
      </c>
      <c r="I46" s="127">
        <f t="shared" ref="I46:AE46" si="67">I35+I39+I43</f>
        <v>10.93</v>
      </c>
      <c r="J46" s="127">
        <f t="shared" si="67"/>
        <v>106.80185</v>
      </c>
      <c r="K46" s="127">
        <f t="shared" si="67"/>
        <v>83.05</v>
      </c>
      <c r="L46" s="127">
        <f t="shared" si="67"/>
        <v>70.998410000000007</v>
      </c>
      <c r="M46" s="127">
        <f t="shared" si="67"/>
        <v>0</v>
      </c>
      <c r="N46" s="127">
        <f t="shared" si="67"/>
        <v>152.66305</v>
      </c>
      <c r="O46" s="127">
        <f t="shared" si="67"/>
        <v>0</v>
      </c>
      <c r="P46" s="127">
        <f t="shared" si="67"/>
        <v>336.62201999999996</v>
      </c>
      <c r="Q46" s="127">
        <f t="shared" si="67"/>
        <v>0</v>
      </c>
      <c r="R46" s="127">
        <f t="shared" si="67"/>
        <v>454.71384999999998</v>
      </c>
      <c r="S46" s="127">
        <f t="shared" si="67"/>
        <v>0</v>
      </c>
      <c r="T46" s="127">
        <f t="shared" si="67"/>
        <v>2321.0733500000001</v>
      </c>
      <c r="U46" s="127">
        <f t="shared" si="67"/>
        <v>0</v>
      </c>
      <c r="V46" s="127">
        <f t="shared" si="67"/>
        <v>560.48800000000006</v>
      </c>
      <c r="W46" s="127">
        <f t="shared" si="67"/>
        <v>0</v>
      </c>
      <c r="X46" s="127">
        <f t="shared" si="67"/>
        <v>579.39801999999997</v>
      </c>
      <c r="Y46" s="127">
        <f t="shared" si="67"/>
        <v>0</v>
      </c>
      <c r="Z46" s="127">
        <f t="shared" si="67"/>
        <v>451.82447999999999</v>
      </c>
      <c r="AA46" s="127">
        <f t="shared" si="67"/>
        <v>0</v>
      </c>
      <c r="AB46" s="127">
        <f t="shared" si="67"/>
        <v>127.83232000000001</v>
      </c>
      <c r="AC46" s="127">
        <f t="shared" si="67"/>
        <v>0</v>
      </c>
      <c r="AD46" s="127">
        <f t="shared" si="67"/>
        <v>6.4651300000000003</v>
      </c>
      <c r="AE46" s="127">
        <f t="shared" si="67"/>
        <v>0</v>
      </c>
      <c r="AF46" s="110"/>
      <c r="AG46" s="137"/>
      <c r="AH46" s="35"/>
    </row>
    <row r="47" spans="1:34" s="36" customFormat="1" ht="146.25" hidden="1" customHeight="1" x14ac:dyDescent="0.25">
      <c r="A47" s="85" t="s">
        <v>126</v>
      </c>
      <c r="B47" s="76"/>
      <c r="C47" s="86"/>
      <c r="D47" s="86"/>
      <c r="E47" s="87"/>
      <c r="F47" s="88"/>
      <c r="G47" s="88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9"/>
      <c r="AE47" s="80"/>
      <c r="AF47" s="98" t="s">
        <v>127</v>
      </c>
      <c r="AG47" s="137"/>
      <c r="AH47" s="37"/>
    </row>
    <row r="48" spans="1:34" s="36" customFormat="1" hidden="1" x14ac:dyDescent="0.25">
      <c r="A48" s="71" t="s">
        <v>25</v>
      </c>
      <c r="B48" s="73">
        <f>B49</f>
        <v>0</v>
      </c>
      <c r="C48" s="73">
        <f>C49</f>
        <v>0</v>
      </c>
      <c r="D48" s="73">
        <f>D49</f>
        <v>0</v>
      </c>
      <c r="E48" s="73">
        <f t="shared" ref="E48:AE48" si="68">E49</f>
        <v>0</v>
      </c>
      <c r="F48" s="66" t="e">
        <f>E48/B48</f>
        <v>#DIV/0!</v>
      </c>
      <c r="G48" s="66" t="e">
        <f>E48/C48</f>
        <v>#DIV/0!</v>
      </c>
      <c r="H48" s="73">
        <f>H49</f>
        <v>0</v>
      </c>
      <c r="I48" s="73">
        <f t="shared" si="68"/>
        <v>0</v>
      </c>
      <c r="J48" s="73">
        <f t="shared" si="68"/>
        <v>0</v>
      </c>
      <c r="K48" s="73">
        <f t="shared" si="68"/>
        <v>0</v>
      </c>
      <c r="L48" s="73">
        <f t="shared" si="68"/>
        <v>0</v>
      </c>
      <c r="M48" s="73">
        <f t="shared" si="68"/>
        <v>0</v>
      </c>
      <c r="N48" s="73">
        <f t="shared" si="68"/>
        <v>0</v>
      </c>
      <c r="O48" s="73">
        <f t="shared" si="68"/>
        <v>0</v>
      </c>
      <c r="P48" s="73">
        <f t="shared" si="68"/>
        <v>0</v>
      </c>
      <c r="Q48" s="73">
        <f t="shared" si="68"/>
        <v>0</v>
      </c>
      <c r="R48" s="73">
        <f t="shared" si="68"/>
        <v>0</v>
      </c>
      <c r="S48" s="73">
        <f t="shared" si="68"/>
        <v>0</v>
      </c>
      <c r="T48" s="73">
        <f t="shared" si="68"/>
        <v>0</v>
      </c>
      <c r="U48" s="73">
        <f t="shared" si="68"/>
        <v>0</v>
      </c>
      <c r="V48" s="73">
        <f t="shared" si="68"/>
        <v>0</v>
      </c>
      <c r="W48" s="73">
        <f t="shared" si="68"/>
        <v>0</v>
      </c>
      <c r="X48" s="73">
        <f t="shared" si="68"/>
        <v>0</v>
      </c>
      <c r="Y48" s="73">
        <f t="shared" si="68"/>
        <v>0</v>
      </c>
      <c r="Z48" s="73">
        <f t="shared" si="68"/>
        <v>0</v>
      </c>
      <c r="AA48" s="73">
        <f t="shared" si="68"/>
        <v>0</v>
      </c>
      <c r="AB48" s="73">
        <f t="shared" si="68"/>
        <v>0</v>
      </c>
      <c r="AC48" s="73">
        <f t="shared" si="68"/>
        <v>0</v>
      </c>
      <c r="AD48" s="73">
        <f t="shared" si="68"/>
        <v>0</v>
      </c>
      <c r="AE48" s="108">
        <f t="shared" si="68"/>
        <v>0</v>
      </c>
      <c r="AF48" s="102"/>
      <c r="AG48" s="137"/>
      <c r="AH48" s="37"/>
    </row>
    <row r="49" spans="1:34" s="36" customFormat="1" ht="20.25" hidden="1" customHeight="1" x14ac:dyDescent="0.25">
      <c r="A49" s="67" t="s">
        <v>102</v>
      </c>
      <c r="B49" s="74">
        <f>H49+J49+L49+N49+P49+R49+T49+V49+X49+Z49+AB49+AD49</f>
        <v>0</v>
      </c>
      <c r="C49" s="75">
        <f>H49+J49+L49+N49+P49+R49+T49+V49+X49+Z49+AB49</f>
        <v>0</v>
      </c>
      <c r="D49" s="75">
        <v>0</v>
      </c>
      <c r="E49" s="75">
        <f>I49+K49+M49+O49+Q49+S49+U49+W49+Y49+AA49+AC49+AE49</f>
        <v>0</v>
      </c>
      <c r="F49" s="61" t="e">
        <f>E49/B49</f>
        <v>#DIV/0!</v>
      </c>
      <c r="G49" s="61" t="e">
        <f>E49/C49</f>
        <v>#DIV/0!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/>
      <c r="U49" s="75"/>
      <c r="V49" s="75">
        <v>0</v>
      </c>
      <c r="W49" s="75">
        <v>0</v>
      </c>
      <c r="X49" s="75">
        <v>0</v>
      </c>
      <c r="Y49" s="75">
        <v>0</v>
      </c>
      <c r="Z49" s="75"/>
      <c r="AA49" s="75"/>
      <c r="AB49" s="75"/>
      <c r="AC49" s="75">
        <v>0</v>
      </c>
      <c r="AD49" s="75">
        <v>0</v>
      </c>
      <c r="AE49" s="79">
        <v>0</v>
      </c>
      <c r="AF49" s="92"/>
      <c r="AG49" s="137"/>
      <c r="AH49" s="37"/>
    </row>
    <row r="50" spans="1:34" s="36" customFormat="1" ht="87.75" hidden="1" customHeight="1" x14ac:dyDescent="0.25">
      <c r="A50" s="112" t="s">
        <v>130</v>
      </c>
      <c r="B50" s="74"/>
      <c r="C50" s="75"/>
      <c r="D50" s="75"/>
      <c r="E50" s="75"/>
      <c r="F50" s="61"/>
      <c r="G50" s="61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9"/>
      <c r="AF50" s="92"/>
      <c r="AG50" s="137"/>
      <c r="AH50" s="37"/>
    </row>
    <row r="51" spans="1:34" s="36" customFormat="1" hidden="1" x14ac:dyDescent="0.25">
      <c r="A51" s="67" t="s">
        <v>25</v>
      </c>
      <c r="B51" s="73">
        <f>B53+B54</f>
        <v>0</v>
      </c>
      <c r="C51" s="73">
        <f>C53+C54</f>
        <v>0</v>
      </c>
      <c r="D51" s="73">
        <f>D53+D54</f>
        <v>0</v>
      </c>
      <c r="E51" s="73">
        <f>E53+E54</f>
        <v>0</v>
      </c>
      <c r="F51" s="66" t="e">
        <f t="shared" ref="F51:F56" si="69">E51/B51</f>
        <v>#DIV/0!</v>
      </c>
      <c r="G51" s="66" t="e">
        <f t="shared" ref="G51:G56" si="70">E51/C51</f>
        <v>#DIV/0!</v>
      </c>
      <c r="H51" s="73">
        <f>H53+H54</f>
        <v>0</v>
      </c>
      <c r="I51" s="73">
        <f>I53+I54</f>
        <v>0</v>
      </c>
      <c r="J51" s="73">
        <f t="shared" ref="J51:AE51" si="71">J53+J54</f>
        <v>0</v>
      </c>
      <c r="K51" s="73">
        <f t="shared" si="71"/>
        <v>0</v>
      </c>
      <c r="L51" s="73">
        <f t="shared" si="71"/>
        <v>0</v>
      </c>
      <c r="M51" s="73">
        <f t="shared" si="71"/>
        <v>0</v>
      </c>
      <c r="N51" s="73">
        <f t="shared" si="71"/>
        <v>0</v>
      </c>
      <c r="O51" s="73">
        <f t="shared" si="71"/>
        <v>0</v>
      </c>
      <c r="P51" s="73">
        <f t="shared" si="71"/>
        <v>0</v>
      </c>
      <c r="Q51" s="73">
        <f t="shared" si="71"/>
        <v>0</v>
      </c>
      <c r="R51" s="73">
        <f t="shared" si="71"/>
        <v>0</v>
      </c>
      <c r="S51" s="73">
        <f t="shared" si="71"/>
        <v>0</v>
      </c>
      <c r="T51" s="73">
        <f t="shared" si="71"/>
        <v>0</v>
      </c>
      <c r="U51" s="73">
        <f t="shared" si="71"/>
        <v>0</v>
      </c>
      <c r="V51" s="73">
        <f t="shared" si="71"/>
        <v>0</v>
      </c>
      <c r="W51" s="73">
        <f t="shared" si="71"/>
        <v>0</v>
      </c>
      <c r="X51" s="73">
        <f t="shared" si="71"/>
        <v>0</v>
      </c>
      <c r="Y51" s="73">
        <f t="shared" si="71"/>
        <v>0</v>
      </c>
      <c r="Z51" s="73">
        <f t="shared" si="71"/>
        <v>0</v>
      </c>
      <c r="AA51" s="73">
        <f t="shared" si="71"/>
        <v>0</v>
      </c>
      <c r="AB51" s="73">
        <f t="shared" si="71"/>
        <v>0</v>
      </c>
      <c r="AC51" s="73">
        <f t="shared" si="71"/>
        <v>0</v>
      </c>
      <c r="AD51" s="73">
        <f t="shared" si="71"/>
        <v>0</v>
      </c>
      <c r="AE51" s="73">
        <f t="shared" si="71"/>
        <v>0</v>
      </c>
      <c r="AF51" s="92"/>
      <c r="AG51" s="137"/>
      <c r="AH51" s="37"/>
    </row>
    <row r="52" spans="1:34" s="36" customFormat="1" hidden="1" x14ac:dyDescent="0.25">
      <c r="A52" s="67" t="s">
        <v>132</v>
      </c>
      <c r="B52" s="74">
        <v>0</v>
      </c>
      <c r="C52" s="74">
        <v>0</v>
      </c>
      <c r="D52" s="74">
        <v>0</v>
      </c>
      <c r="E52" s="74">
        <v>0</v>
      </c>
      <c r="F52" s="61" t="e">
        <f t="shared" si="69"/>
        <v>#DIV/0!</v>
      </c>
      <c r="G52" s="61" t="e">
        <f t="shared" si="70"/>
        <v>#DIV/0!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  <c r="T52" s="74">
        <v>0</v>
      </c>
      <c r="U52" s="74">
        <v>0</v>
      </c>
      <c r="V52" s="74">
        <v>0</v>
      </c>
      <c r="W52" s="74">
        <v>0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v>0</v>
      </c>
      <c r="AD52" s="74">
        <v>0</v>
      </c>
      <c r="AE52" s="74">
        <v>0</v>
      </c>
      <c r="AF52" s="102"/>
      <c r="AG52" s="137"/>
      <c r="AH52" s="37"/>
    </row>
    <row r="53" spans="1:34" s="36" customFormat="1" hidden="1" x14ac:dyDescent="0.25">
      <c r="A53" s="67" t="s">
        <v>102</v>
      </c>
      <c r="B53" s="75">
        <f>H53+J53+L53+N53+P53+R53+T53+V53+X53+Z53+AB53+AD53</f>
        <v>0</v>
      </c>
      <c r="C53" s="75">
        <f>C60</f>
        <v>0</v>
      </c>
      <c r="D53" s="75">
        <f t="shared" ref="C53:E54" si="72">D60</f>
        <v>0</v>
      </c>
      <c r="E53" s="75">
        <f t="shared" si="72"/>
        <v>0</v>
      </c>
      <c r="F53" s="61" t="e">
        <f t="shared" si="69"/>
        <v>#DIV/0!</v>
      </c>
      <c r="G53" s="61" t="e">
        <f t="shared" si="70"/>
        <v>#DIV/0!</v>
      </c>
      <c r="H53" s="75">
        <f>H60</f>
        <v>0</v>
      </c>
      <c r="I53" s="75">
        <f>I60</f>
        <v>0</v>
      </c>
      <c r="J53" s="75">
        <f>J60</f>
        <v>0</v>
      </c>
      <c r="K53" s="75">
        <f t="shared" ref="K53:AE53" si="73">K60</f>
        <v>0</v>
      </c>
      <c r="L53" s="75">
        <f t="shared" si="73"/>
        <v>0</v>
      </c>
      <c r="M53" s="75">
        <f t="shared" si="73"/>
        <v>0</v>
      </c>
      <c r="N53" s="75">
        <f t="shared" si="73"/>
        <v>0</v>
      </c>
      <c r="O53" s="75">
        <f t="shared" si="73"/>
        <v>0</v>
      </c>
      <c r="P53" s="75">
        <f t="shared" si="73"/>
        <v>0</v>
      </c>
      <c r="Q53" s="75">
        <f t="shared" si="73"/>
        <v>0</v>
      </c>
      <c r="R53" s="75">
        <f t="shared" si="73"/>
        <v>0</v>
      </c>
      <c r="S53" s="75">
        <f t="shared" si="73"/>
        <v>0</v>
      </c>
      <c r="T53" s="75">
        <f t="shared" si="73"/>
        <v>0</v>
      </c>
      <c r="U53" s="75">
        <f t="shared" si="73"/>
        <v>0</v>
      </c>
      <c r="V53" s="75">
        <f t="shared" si="73"/>
        <v>0</v>
      </c>
      <c r="W53" s="75">
        <f t="shared" si="73"/>
        <v>0</v>
      </c>
      <c r="X53" s="75">
        <f t="shared" si="73"/>
        <v>0</v>
      </c>
      <c r="Y53" s="75">
        <f t="shared" si="73"/>
        <v>0</v>
      </c>
      <c r="Z53" s="75">
        <f t="shared" si="73"/>
        <v>0</v>
      </c>
      <c r="AA53" s="75">
        <f t="shared" si="73"/>
        <v>0</v>
      </c>
      <c r="AB53" s="75">
        <f t="shared" si="73"/>
        <v>0</v>
      </c>
      <c r="AC53" s="75">
        <f t="shared" si="73"/>
        <v>0</v>
      </c>
      <c r="AD53" s="75">
        <f t="shared" si="73"/>
        <v>0</v>
      </c>
      <c r="AE53" s="75">
        <f t="shared" si="73"/>
        <v>0</v>
      </c>
      <c r="AF53" s="92"/>
      <c r="AG53" s="137"/>
      <c r="AH53" s="37"/>
    </row>
    <row r="54" spans="1:34" s="36" customFormat="1" hidden="1" x14ac:dyDescent="0.25">
      <c r="A54" s="67" t="s">
        <v>103</v>
      </c>
      <c r="B54" s="74">
        <f>H54+J54+L54+N54+P54+R54+T54+V54+X54+Z54+AB54+AD54</f>
        <v>0</v>
      </c>
      <c r="C54" s="75">
        <f t="shared" si="72"/>
        <v>0</v>
      </c>
      <c r="D54" s="75">
        <f t="shared" si="72"/>
        <v>0</v>
      </c>
      <c r="E54" s="75">
        <f t="shared" si="72"/>
        <v>0</v>
      </c>
      <c r="F54" s="61" t="e">
        <f t="shared" si="69"/>
        <v>#DIV/0!</v>
      </c>
      <c r="G54" s="61" t="e">
        <f t="shared" si="70"/>
        <v>#DIV/0!</v>
      </c>
      <c r="H54" s="75">
        <f>H61</f>
        <v>0</v>
      </c>
      <c r="I54" s="75">
        <f t="shared" ref="I54:AE54" si="74">I61</f>
        <v>0</v>
      </c>
      <c r="J54" s="75">
        <f t="shared" si="74"/>
        <v>0</v>
      </c>
      <c r="K54" s="75">
        <f t="shared" si="74"/>
        <v>0</v>
      </c>
      <c r="L54" s="75">
        <f t="shared" si="74"/>
        <v>0</v>
      </c>
      <c r="M54" s="75">
        <f t="shared" si="74"/>
        <v>0</v>
      </c>
      <c r="N54" s="75">
        <f t="shared" si="74"/>
        <v>0</v>
      </c>
      <c r="O54" s="75">
        <f t="shared" si="74"/>
        <v>0</v>
      </c>
      <c r="P54" s="75">
        <f t="shared" si="74"/>
        <v>0</v>
      </c>
      <c r="Q54" s="75">
        <f t="shared" si="74"/>
        <v>0</v>
      </c>
      <c r="R54" s="75">
        <f t="shared" si="74"/>
        <v>0</v>
      </c>
      <c r="S54" s="75">
        <f t="shared" si="74"/>
        <v>0</v>
      </c>
      <c r="T54" s="75">
        <f t="shared" si="74"/>
        <v>0</v>
      </c>
      <c r="U54" s="75">
        <f t="shared" si="74"/>
        <v>0</v>
      </c>
      <c r="V54" s="75">
        <f t="shared" si="74"/>
        <v>0</v>
      </c>
      <c r="W54" s="75">
        <f t="shared" si="74"/>
        <v>0</v>
      </c>
      <c r="X54" s="75">
        <f t="shared" si="74"/>
        <v>0</v>
      </c>
      <c r="Y54" s="75">
        <f t="shared" si="74"/>
        <v>0</v>
      </c>
      <c r="Z54" s="75">
        <f t="shared" si="74"/>
        <v>0</v>
      </c>
      <c r="AA54" s="75">
        <f t="shared" si="74"/>
        <v>0</v>
      </c>
      <c r="AB54" s="75">
        <f t="shared" si="74"/>
        <v>0</v>
      </c>
      <c r="AC54" s="75">
        <f t="shared" si="74"/>
        <v>0</v>
      </c>
      <c r="AD54" s="75">
        <f t="shared" si="74"/>
        <v>0</v>
      </c>
      <c r="AE54" s="75">
        <f t="shared" si="74"/>
        <v>0</v>
      </c>
      <c r="AF54" s="92"/>
      <c r="AG54" s="137"/>
      <c r="AH54" s="37"/>
    </row>
    <row r="55" spans="1:34" s="36" customFormat="1" ht="33" hidden="1" x14ac:dyDescent="0.25">
      <c r="A55" s="94" t="s">
        <v>133</v>
      </c>
      <c r="B55" s="74">
        <v>0</v>
      </c>
      <c r="C55" s="75">
        <v>0</v>
      </c>
      <c r="D55" s="75">
        <v>0</v>
      </c>
      <c r="E55" s="75">
        <v>0</v>
      </c>
      <c r="F55" s="61" t="e">
        <f t="shared" si="69"/>
        <v>#DIV/0!</v>
      </c>
      <c r="G55" s="61" t="e">
        <f t="shared" si="70"/>
        <v>#DIV/0!</v>
      </c>
      <c r="H55" s="74">
        <v>0</v>
      </c>
      <c r="I55" s="74">
        <v>0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  <c r="Q55" s="74">
        <v>0</v>
      </c>
      <c r="R55" s="74">
        <v>0</v>
      </c>
      <c r="S55" s="74">
        <v>0</v>
      </c>
      <c r="T55" s="74">
        <v>0</v>
      </c>
      <c r="U55" s="74">
        <v>0</v>
      </c>
      <c r="V55" s="74">
        <v>0</v>
      </c>
      <c r="W55" s="74">
        <v>0</v>
      </c>
      <c r="X55" s="74">
        <v>0</v>
      </c>
      <c r="Y55" s="74">
        <v>0</v>
      </c>
      <c r="Z55" s="74">
        <v>0</v>
      </c>
      <c r="AA55" s="74">
        <v>0</v>
      </c>
      <c r="AB55" s="74">
        <v>0</v>
      </c>
      <c r="AC55" s="74">
        <v>0</v>
      </c>
      <c r="AD55" s="74">
        <v>0</v>
      </c>
      <c r="AE55" s="74">
        <v>0</v>
      </c>
      <c r="AF55" s="92"/>
      <c r="AG55" s="137"/>
      <c r="AH55" s="37"/>
    </row>
    <row r="56" spans="1:34" s="36" customFormat="1" hidden="1" x14ac:dyDescent="0.25">
      <c r="A56" s="67" t="s">
        <v>134</v>
      </c>
      <c r="B56" s="74">
        <v>0</v>
      </c>
      <c r="C56" s="75">
        <v>0</v>
      </c>
      <c r="D56" s="75">
        <v>0</v>
      </c>
      <c r="E56" s="75">
        <v>0</v>
      </c>
      <c r="F56" s="61" t="e">
        <f t="shared" si="69"/>
        <v>#DIV/0!</v>
      </c>
      <c r="G56" s="61" t="e">
        <f t="shared" si="70"/>
        <v>#DIV/0!</v>
      </c>
      <c r="H56" s="74">
        <v>0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4">
        <v>0</v>
      </c>
      <c r="R56" s="74">
        <v>0</v>
      </c>
      <c r="S56" s="74">
        <v>0</v>
      </c>
      <c r="T56" s="74">
        <v>0</v>
      </c>
      <c r="U56" s="74">
        <v>0</v>
      </c>
      <c r="V56" s="74">
        <v>0</v>
      </c>
      <c r="W56" s="74">
        <v>0</v>
      </c>
      <c r="X56" s="74">
        <v>0</v>
      </c>
      <c r="Y56" s="74">
        <v>0</v>
      </c>
      <c r="Z56" s="74">
        <v>0</v>
      </c>
      <c r="AA56" s="74">
        <v>0</v>
      </c>
      <c r="AB56" s="74">
        <v>0</v>
      </c>
      <c r="AC56" s="74">
        <v>0</v>
      </c>
      <c r="AD56" s="74">
        <v>0</v>
      </c>
      <c r="AE56" s="74">
        <v>0</v>
      </c>
      <c r="AF56" s="92"/>
      <c r="AG56" s="137"/>
      <c r="AH56" s="37"/>
    </row>
    <row r="57" spans="1:34" s="36" customFormat="1" ht="131.25" hidden="1" customHeight="1" x14ac:dyDescent="0.25">
      <c r="A57" s="85" t="s">
        <v>129</v>
      </c>
      <c r="B57" s="76"/>
      <c r="C57" s="86"/>
      <c r="D57" s="86"/>
      <c r="E57" s="87"/>
      <c r="F57" s="88"/>
      <c r="G57" s="88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9"/>
      <c r="AE57" s="80"/>
      <c r="AF57" s="98" t="s">
        <v>138</v>
      </c>
      <c r="AG57" s="137"/>
      <c r="AH57" s="37"/>
    </row>
    <row r="58" spans="1:34" s="36" customFormat="1" hidden="1" x14ac:dyDescent="0.25">
      <c r="A58" s="71" t="s">
        <v>25</v>
      </c>
      <c r="B58" s="73">
        <f>B60</f>
        <v>0</v>
      </c>
      <c r="C58" s="73">
        <f>C60</f>
        <v>0</v>
      </c>
      <c r="D58" s="73">
        <f>D60</f>
        <v>0</v>
      </c>
      <c r="E58" s="73">
        <f t="shared" ref="E58" si="75">E60</f>
        <v>0</v>
      </c>
      <c r="F58" s="66" t="e">
        <f t="shared" ref="F58:F71" si="76">E58/B58</f>
        <v>#DIV/0!</v>
      </c>
      <c r="G58" s="66" t="e">
        <f t="shared" ref="G58:G71" si="77">E58/C58</f>
        <v>#DIV/0!</v>
      </c>
      <c r="H58" s="73">
        <f>H60+H61</f>
        <v>0</v>
      </c>
      <c r="I58" s="73">
        <f t="shared" ref="I58:AE58" si="78">I60+I61</f>
        <v>0</v>
      </c>
      <c r="J58" s="73">
        <f t="shared" si="78"/>
        <v>0</v>
      </c>
      <c r="K58" s="73">
        <f t="shared" si="78"/>
        <v>0</v>
      </c>
      <c r="L58" s="73">
        <f t="shared" si="78"/>
        <v>0</v>
      </c>
      <c r="M58" s="73">
        <f t="shared" si="78"/>
        <v>0</v>
      </c>
      <c r="N58" s="73">
        <f t="shared" si="78"/>
        <v>0</v>
      </c>
      <c r="O58" s="73">
        <f t="shared" si="78"/>
        <v>0</v>
      </c>
      <c r="P58" s="73">
        <f t="shared" si="78"/>
        <v>0</v>
      </c>
      <c r="Q58" s="73">
        <f t="shared" si="78"/>
        <v>0</v>
      </c>
      <c r="R58" s="73">
        <f t="shared" si="78"/>
        <v>0</v>
      </c>
      <c r="S58" s="73">
        <f t="shared" si="78"/>
        <v>0</v>
      </c>
      <c r="T58" s="73">
        <f t="shared" si="78"/>
        <v>0</v>
      </c>
      <c r="U58" s="73">
        <f t="shared" si="78"/>
        <v>0</v>
      </c>
      <c r="V58" s="73">
        <f t="shared" si="78"/>
        <v>0</v>
      </c>
      <c r="W58" s="73">
        <f t="shared" si="78"/>
        <v>0</v>
      </c>
      <c r="X58" s="73">
        <f t="shared" si="78"/>
        <v>0</v>
      </c>
      <c r="Y58" s="73">
        <f t="shared" si="78"/>
        <v>0</v>
      </c>
      <c r="Z58" s="73">
        <f t="shared" si="78"/>
        <v>0</v>
      </c>
      <c r="AA58" s="73">
        <f t="shared" si="78"/>
        <v>0</v>
      </c>
      <c r="AB58" s="73">
        <f t="shared" si="78"/>
        <v>0</v>
      </c>
      <c r="AC58" s="73">
        <f t="shared" si="78"/>
        <v>0</v>
      </c>
      <c r="AD58" s="73">
        <f t="shared" si="78"/>
        <v>0</v>
      </c>
      <c r="AE58" s="73">
        <f t="shared" si="78"/>
        <v>0</v>
      </c>
      <c r="AF58" s="102"/>
      <c r="AG58" s="137"/>
      <c r="AH58" s="37"/>
    </row>
    <row r="59" spans="1:34" s="36" customFormat="1" hidden="1" x14ac:dyDescent="0.25">
      <c r="A59" s="67" t="s">
        <v>132</v>
      </c>
      <c r="B59" s="74">
        <v>0</v>
      </c>
      <c r="C59" s="74">
        <v>0</v>
      </c>
      <c r="D59" s="74">
        <v>0</v>
      </c>
      <c r="E59" s="74">
        <v>0</v>
      </c>
      <c r="F59" s="61" t="e">
        <f t="shared" si="76"/>
        <v>#DIV/0!</v>
      </c>
      <c r="G59" s="61" t="e">
        <f t="shared" si="77"/>
        <v>#DIV/0!</v>
      </c>
      <c r="H59" s="74">
        <v>0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74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74">
        <v>0</v>
      </c>
      <c r="AA59" s="74">
        <v>0</v>
      </c>
      <c r="AB59" s="74">
        <v>0</v>
      </c>
      <c r="AC59" s="74">
        <v>0</v>
      </c>
      <c r="AD59" s="74">
        <v>0</v>
      </c>
      <c r="AE59" s="74">
        <v>0</v>
      </c>
      <c r="AF59" s="102"/>
      <c r="AG59" s="137"/>
      <c r="AH59" s="37"/>
    </row>
    <row r="60" spans="1:34" s="36" customFormat="1" ht="20.25" hidden="1" customHeight="1" x14ac:dyDescent="0.25">
      <c r="A60" s="67" t="s">
        <v>102</v>
      </c>
      <c r="B60" s="74">
        <f>H60+J60+L60+N60+P60+R60+T60+V60+X60+Z60+AB60+AD60</f>
        <v>0</v>
      </c>
      <c r="C60" s="74">
        <f>H60+J60+L60+N60+P60</f>
        <v>0</v>
      </c>
      <c r="D60" s="75">
        <v>0</v>
      </c>
      <c r="E60" s="74">
        <f>I60+K60+M60+O60+Q60+S60+U60+W60+Y60+AA60+AC60+AE60</f>
        <v>0</v>
      </c>
      <c r="F60" s="61" t="e">
        <f t="shared" si="76"/>
        <v>#DIV/0!</v>
      </c>
      <c r="G60" s="61" t="e">
        <f t="shared" si="77"/>
        <v>#DIV/0!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/>
      <c r="U60" s="75"/>
      <c r="V60" s="75">
        <v>0</v>
      </c>
      <c r="W60" s="75">
        <v>0</v>
      </c>
      <c r="X60" s="75">
        <v>0</v>
      </c>
      <c r="Y60" s="75">
        <v>0</v>
      </c>
      <c r="Z60" s="75"/>
      <c r="AA60" s="75"/>
      <c r="AB60" s="75"/>
      <c r="AC60" s="75">
        <v>0</v>
      </c>
      <c r="AD60" s="75">
        <v>0</v>
      </c>
      <c r="AE60" s="75">
        <v>0</v>
      </c>
      <c r="AF60" s="92"/>
      <c r="AG60" s="137"/>
      <c r="AH60" s="37"/>
    </row>
    <row r="61" spans="1:34" s="36" customFormat="1" hidden="1" x14ac:dyDescent="0.25">
      <c r="A61" s="67" t="s">
        <v>103</v>
      </c>
      <c r="B61" s="74">
        <f>H61+J61+L61+N61+P61+R61+T61+V61+X61+Z61+AB61+AD61</f>
        <v>0</v>
      </c>
      <c r="C61" s="74">
        <f>H61+J61+L61+N61+P61</f>
        <v>0</v>
      </c>
      <c r="D61" s="75">
        <v>0</v>
      </c>
      <c r="E61" s="74">
        <f>I61+K61+M61+O61+Q61+S61+U61+W61+Y61+AA61+AC61+AE61</f>
        <v>0</v>
      </c>
      <c r="F61" s="61" t="e">
        <f t="shared" si="76"/>
        <v>#DIV/0!</v>
      </c>
      <c r="G61" s="61" t="e">
        <f t="shared" si="77"/>
        <v>#DIV/0!</v>
      </c>
      <c r="H61" s="75">
        <f>H123+H147</f>
        <v>0</v>
      </c>
      <c r="I61" s="75">
        <f>I123+I147</f>
        <v>0</v>
      </c>
      <c r="J61" s="75">
        <f t="shared" ref="J61:AE61" si="79">J123+J147</f>
        <v>0</v>
      </c>
      <c r="K61" s="75">
        <f t="shared" si="79"/>
        <v>0</v>
      </c>
      <c r="L61" s="75">
        <f t="shared" si="79"/>
        <v>0</v>
      </c>
      <c r="M61" s="75">
        <f t="shared" si="79"/>
        <v>0</v>
      </c>
      <c r="N61" s="75">
        <f t="shared" si="79"/>
        <v>0</v>
      </c>
      <c r="O61" s="75">
        <f t="shared" si="79"/>
        <v>0</v>
      </c>
      <c r="P61" s="75">
        <f t="shared" si="79"/>
        <v>0</v>
      </c>
      <c r="Q61" s="75">
        <f t="shared" si="79"/>
        <v>0</v>
      </c>
      <c r="R61" s="75">
        <f t="shared" si="79"/>
        <v>0</v>
      </c>
      <c r="S61" s="75">
        <f t="shared" si="79"/>
        <v>0</v>
      </c>
      <c r="T61" s="75">
        <f t="shared" si="79"/>
        <v>0</v>
      </c>
      <c r="U61" s="75">
        <f t="shared" si="79"/>
        <v>0</v>
      </c>
      <c r="V61" s="75">
        <f t="shared" si="79"/>
        <v>0</v>
      </c>
      <c r="W61" s="75">
        <f t="shared" si="79"/>
        <v>0</v>
      </c>
      <c r="X61" s="75">
        <f t="shared" si="79"/>
        <v>0</v>
      </c>
      <c r="Y61" s="75">
        <f t="shared" si="79"/>
        <v>0</v>
      </c>
      <c r="Z61" s="75">
        <f t="shared" si="79"/>
        <v>0</v>
      </c>
      <c r="AA61" s="75">
        <f t="shared" si="79"/>
        <v>0</v>
      </c>
      <c r="AB61" s="75">
        <f t="shared" si="79"/>
        <v>0</v>
      </c>
      <c r="AC61" s="75">
        <f t="shared" si="79"/>
        <v>0</v>
      </c>
      <c r="AD61" s="75">
        <f t="shared" si="79"/>
        <v>0</v>
      </c>
      <c r="AE61" s="75">
        <f t="shared" si="79"/>
        <v>0</v>
      </c>
      <c r="AF61" s="92"/>
      <c r="AG61" s="137"/>
      <c r="AH61" s="37"/>
    </row>
    <row r="62" spans="1:34" s="36" customFormat="1" ht="33" hidden="1" x14ac:dyDescent="0.25">
      <c r="A62" s="94" t="s">
        <v>133</v>
      </c>
      <c r="B62" s="74">
        <v>0</v>
      </c>
      <c r="C62" s="75">
        <v>0</v>
      </c>
      <c r="D62" s="75">
        <v>0</v>
      </c>
      <c r="E62" s="75">
        <v>0</v>
      </c>
      <c r="F62" s="61" t="e">
        <f t="shared" si="76"/>
        <v>#DIV/0!</v>
      </c>
      <c r="G62" s="61" t="e">
        <f t="shared" si="77"/>
        <v>#DIV/0!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74">
        <v>0</v>
      </c>
      <c r="AE62" s="74">
        <v>0</v>
      </c>
      <c r="AF62" s="92"/>
      <c r="AG62" s="137"/>
      <c r="AH62" s="37"/>
    </row>
    <row r="63" spans="1:34" s="36" customFormat="1" hidden="1" x14ac:dyDescent="0.25">
      <c r="A63" s="67" t="s">
        <v>134</v>
      </c>
      <c r="B63" s="74">
        <v>0</v>
      </c>
      <c r="C63" s="75">
        <v>0</v>
      </c>
      <c r="D63" s="75">
        <v>0</v>
      </c>
      <c r="E63" s="75">
        <v>0</v>
      </c>
      <c r="F63" s="61" t="e">
        <f t="shared" si="76"/>
        <v>#DIV/0!</v>
      </c>
      <c r="G63" s="61" t="e">
        <f t="shared" si="77"/>
        <v>#DIV/0!</v>
      </c>
      <c r="H63" s="74">
        <v>0</v>
      </c>
      <c r="I63" s="74">
        <v>0</v>
      </c>
      <c r="J63" s="74">
        <v>0</v>
      </c>
      <c r="K63" s="74">
        <v>0</v>
      </c>
      <c r="L63" s="74">
        <v>0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4">
        <v>0</v>
      </c>
      <c r="S63" s="74">
        <v>0</v>
      </c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74">
        <v>0</v>
      </c>
      <c r="AA63" s="74">
        <v>0</v>
      </c>
      <c r="AB63" s="74">
        <v>0</v>
      </c>
      <c r="AC63" s="74">
        <v>0</v>
      </c>
      <c r="AD63" s="74">
        <v>0</v>
      </c>
      <c r="AE63" s="74">
        <v>0</v>
      </c>
      <c r="AF63" s="93"/>
      <c r="AG63" s="137"/>
      <c r="AH63" s="37"/>
    </row>
    <row r="64" spans="1:34" s="57" customFormat="1" ht="35.25" hidden="1" customHeight="1" x14ac:dyDescent="0.25">
      <c r="A64" s="112" t="s">
        <v>17</v>
      </c>
      <c r="B64" s="113">
        <f>B65</f>
        <v>21106.400000000001</v>
      </c>
      <c r="C64" s="113">
        <f t="shared" ref="C64:AD64" si="80">C65</f>
        <v>495.59333999999996</v>
      </c>
      <c r="D64" s="113">
        <f t="shared" si="80"/>
        <v>478.73334999999997</v>
      </c>
      <c r="E64" s="113">
        <f t="shared" si="80"/>
        <v>433.89197999999999</v>
      </c>
      <c r="F64" s="66">
        <f t="shared" si="76"/>
        <v>2.0557365538414887E-2</v>
      </c>
      <c r="G64" s="66">
        <f t="shared" si="77"/>
        <v>0.87550002185259401</v>
      </c>
      <c r="H64" s="113">
        <f>H65</f>
        <v>32.01952</v>
      </c>
      <c r="I64" s="113">
        <f t="shared" si="80"/>
        <v>10.93</v>
      </c>
      <c r="J64" s="113">
        <f>J65</f>
        <v>463.57381999999996</v>
      </c>
      <c r="K64" s="113">
        <f t="shared" si="80"/>
        <v>422.96197999999998</v>
      </c>
      <c r="L64" s="113">
        <f t="shared" si="80"/>
        <v>425.59494999999998</v>
      </c>
      <c r="M64" s="113">
        <f t="shared" si="80"/>
        <v>0</v>
      </c>
      <c r="N64" s="113">
        <f t="shared" si="80"/>
        <v>1068.5842600000001</v>
      </c>
      <c r="O64" s="113">
        <f t="shared" si="80"/>
        <v>0</v>
      </c>
      <c r="P64" s="113">
        <f>P65</f>
        <v>695.95043999999984</v>
      </c>
      <c r="Q64" s="113">
        <f t="shared" si="80"/>
        <v>0</v>
      </c>
      <c r="R64" s="113">
        <f t="shared" si="80"/>
        <v>4941.5904399999999</v>
      </c>
      <c r="S64" s="113">
        <f t="shared" si="80"/>
        <v>0</v>
      </c>
      <c r="T64" s="113">
        <f>T65</f>
        <v>6562.3143700000001</v>
      </c>
      <c r="U64" s="113">
        <f t="shared" si="80"/>
        <v>0</v>
      </c>
      <c r="V64" s="113">
        <f t="shared" si="80"/>
        <v>4238.2390100000002</v>
      </c>
      <c r="W64" s="113">
        <f t="shared" si="80"/>
        <v>0</v>
      </c>
      <c r="X64" s="113">
        <f>X65</f>
        <v>1496.1935399999998</v>
      </c>
      <c r="Y64" s="113">
        <f t="shared" si="80"/>
        <v>0</v>
      </c>
      <c r="Z64" s="113">
        <f t="shared" si="80"/>
        <v>816.79600000000005</v>
      </c>
      <c r="AA64" s="113">
        <f t="shared" si="80"/>
        <v>0</v>
      </c>
      <c r="AB64" s="113">
        <f t="shared" si="80"/>
        <v>302.09343000000001</v>
      </c>
      <c r="AC64" s="113">
        <f t="shared" si="80"/>
        <v>0</v>
      </c>
      <c r="AD64" s="113">
        <f t="shared" si="80"/>
        <v>63.450220000000002</v>
      </c>
      <c r="AE64" s="80"/>
      <c r="AF64" s="114"/>
      <c r="AG64" s="137"/>
      <c r="AH64" s="58"/>
    </row>
    <row r="65" spans="1:34" s="36" customFormat="1" hidden="1" x14ac:dyDescent="0.25">
      <c r="A65" s="67" t="s">
        <v>25</v>
      </c>
      <c r="B65" s="74">
        <f>B67+B68</f>
        <v>21106.400000000001</v>
      </c>
      <c r="C65" s="74">
        <f>C67+C68</f>
        <v>495.59333999999996</v>
      </c>
      <c r="D65" s="74">
        <f t="shared" ref="D65" si="81">D67+D68</f>
        <v>478.73334999999997</v>
      </c>
      <c r="E65" s="74">
        <f>E67+E68</f>
        <v>433.89197999999999</v>
      </c>
      <c r="F65" s="106">
        <f t="shared" si="76"/>
        <v>2.0557365538414887E-2</v>
      </c>
      <c r="G65" s="106">
        <f t="shared" si="77"/>
        <v>0.87550002185259401</v>
      </c>
      <c r="H65" s="74">
        <f t="shared" ref="H65:AE65" si="82">H67+H68</f>
        <v>32.01952</v>
      </c>
      <c r="I65" s="74">
        <f t="shared" si="82"/>
        <v>10.93</v>
      </c>
      <c r="J65" s="74">
        <f t="shared" si="82"/>
        <v>463.57381999999996</v>
      </c>
      <c r="K65" s="74">
        <f t="shared" si="82"/>
        <v>422.96197999999998</v>
      </c>
      <c r="L65" s="74">
        <f t="shared" si="82"/>
        <v>425.59494999999998</v>
      </c>
      <c r="M65" s="74">
        <f t="shared" si="82"/>
        <v>0</v>
      </c>
      <c r="N65" s="74">
        <f t="shared" si="82"/>
        <v>1068.5842600000001</v>
      </c>
      <c r="O65" s="74">
        <f t="shared" si="82"/>
        <v>0</v>
      </c>
      <c r="P65" s="74">
        <f t="shared" si="82"/>
        <v>695.95043999999984</v>
      </c>
      <c r="Q65" s="74">
        <f t="shared" si="82"/>
        <v>0</v>
      </c>
      <c r="R65" s="74">
        <f t="shared" si="82"/>
        <v>4941.5904399999999</v>
      </c>
      <c r="S65" s="74">
        <f t="shared" si="82"/>
        <v>0</v>
      </c>
      <c r="T65" s="74">
        <f t="shared" si="82"/>
        <v>6562.3143700000001</v>
      </c>
      <c r="U65" s="74">
        <f t="shared" si="82"/>
        <v>0</v>
      </c>
      <c r="V65" s="74">
        <f t="shared" si="82"/>
        <v>4238.2390100000002</v>
      </c>
      <c r="W65" s="74">
        <f t="shared" si="82"/>
        <v>0</v>
      </c>
      <c r="X65" s="74">
        <f t="shared" si="82"/>
        <v>1496.1935399999998</v>
      </c>
      <c r="Y65" s="74">
        <f t="shared" si="82"/>
        <v>0</v>
      </c>
      <c r="Z65" s="74">
        <f t="shared" si="82"/>
        <v>816.79600000000005</v>
      </c>
      <c r="AA65" s="74">
        <f t="shared" si="82"/>
        <v>0</v>
      </c>
      <c r="AB65" s="74">
        <f t="shared" si="82"/>
        <v>302.09343000000001</v>
      </c>
      <c r="AC65" s="74">
        <f t="shared" si="82"/>
        <v>0</v>
      </c>
      <c r="AD65" s="74">
        <f t="shared" si="82"/>
        <v>63.450220000000002</v>
      </c>
      <c r="AE65" s="74">
        <f t="shared" si="82"/>
        <v>0</v>
      </c>
      <c r="AF65" s="92"/>
      <c r="AG65" s="137"/>
      <c r="AH65" s="37"/>
    </row>
    <row r="66" spans="1:34" s="36" customFormat="1" hidden="1" x14ac:dyDescent="0.25">
      <c r="A66" s="67" t="s">
        <v>132</v>
      </c>
      <c r="B66" s="74" t="e">
        <f>#REF!</f>
        <v>#REF!</v>
      </c>
      <c r="C66" s="74" t="e">
        <f>#REF!</f>
        <v>#REF!</v>
      </c>
      <c r="D66" s="74" t="e">
        <f>#REF!</f>
        <v>#REF!</v>
      </c>
      <c r="E66" s="74" t="e">
        <f>#REF!</f>
        <v>#REF!</v>
      </c>
      <c r="F66" s="61" t="e">
        <f t="shared" si="76"/>
        <v>#REF!</v>
      </c>
      <c r="G66" s="61" t="e">
        <f t="shared" si="77"/>
        <v>#REF!</v>
      </c>
      <c r="H66" s="74" t="e">
        <f>#REF!</f>
        <v>#REF!</v>
      </c>
      <c r="I66" s="74" t="e">
        <f>#REF!</f>
        <v>#REF!</v>
      </c>
      <c r="J66" s="74" t="e">
        <f>#REF!</f>
        <v>#REF!</v>
      </c>
      <c r="K66" s="74" t="e">
        <f>#REF!</f>
        <v>#REF!</v>
      </c>
      <c r="L66" s="74" t="e">
        <f>#REF!</f>
        <v>#REF!</v>
      </c>
      <c r="M66" s="74" t="e">
        <f>#REF!</f>
        <v>#REF!</v>
      </c>
      <c r="N66" s="74" t="e">
        <f>#REF!</f>
        <v>#REF!</v>
      </c>
      <c r="O66" s="74" t="e">
        <f>#REF!</f>
        <v>#REF!</v>
      </c>
      <c r="P66" s="74" t="e">
        <f>#REF!</f>
        <v>#REF!</v>
      </c>
      <c r="Q66" s="74" t="e">
        <f>#REF!</f>
        <v>#REF!</v>
      </c>
      <c r="R66" s="74" t="e">
        <f>#REF!</f>
        <v>#REF!</v>
      </c>
      <c r="S66" s="74" t="e">
        <f>#REF!</f>
        <v>#REF!</v>
      </c>
      <c r="T66" s="74" t="e">
        <f>#REF!</f>
        <v>#REF!</v>
      </c>
      <c r="U66" s="74" t="e">
        <f>#REF!</f>
        <v>#REF!</v>
      </c>
      <c r="V66" s="74" t="e">
        <f>#REF!</f>
        <v>#REF!</v>
      </c>
      <c r="W66" s="74" t="e">
        <f>#REF!</f>
        <v>#REF!</v>
      </c>
      <c r="X66" s="74" t="e">
        <f>#REF!</f>
        <v>#REF!</v>
      </c>
      <c r="Y66" s="74" t="e">
        <f>#REF!</f>
        <v>#REF!</v>
      </c>
      <c r="Z66" s="74" t="e">
        <f>#REF!</f>
        <v>#REF!</v>
      </c>
      <c r="AA66" s="74" t="e">
        <f>#REF!</f>
        <v>#REF!</v>
      </c>
      <c r="AB66" s="74" t="e">
        <f>#REF!</f>
        <v>#REF!</v>
      </c>
      <c r="AC66" s="74" t="e">
        <f>#REF!</f>
        <v>#REF!</v>
      </c>
      <c r="AD66" s="74" t="e">
        <f>#REF!</f>
        <v>#REF!</v>
      </c>
      <c r="AE66" s="74" t="e">
        <f>#REF!</f>
        <v>#REF!</v>
      </c>
      <c r="AF66" s="92"/>
      <c r="AG66" s="137"/>
      <c r="AH66" s="37"/>
    </row>
    <row r="67" spans="1:34" s="36" customFormat="1" hidden="1" x14ac:dyDescent="0.25">
      <c r="A67" s="67" t="s">
        <v>102</v>
      </c>
      <c r="B67" s="75">
        <f t="shared" ref="B67:E68" si="83">B10</f>
        <v>2801.1</v>
      </c>
      <c r="C67" s="75">
        <f t="shared" si="83"/>
        <v>16.859990000000003</v>
      </c>
      <c r="D67" s="75">
        <f t="shared" si="83"/>
        <v>0</v>
      </c>
      <c r="E67" s="75">
        <f t="shared" si="83"/>
        <v>0</v>
      </c>
      <c r="F67" s="61">
        <f t="shared" si="76"/>
        <v>0</v>
      </c>
      <c r="G67" s="61">
        <f t="shared" si="77"/>
        <v>0</v>
      </c>
      <c r="H67" s="75">
        <f t="shared" ref="H67:AE67" si="84">H10</f>
        <v>0</v>
      </c>
      <c r="I67" s="75">
        <f t="shared" si="84"/>
        <v>0</v>
      </c>
      <c r="J67" s="75">
        <f t="shared" si="84"/>
        <v>16.859990000000003</v>
      </c>
      <c r="K67" s="75">
        <f t="shared" si="84"/>
        <v>0</v>
      </c>
      <c r="L67" s="75">
        <f t="shared" si="84"/>
        <v>62.334990000000005</v>
      </c>
      <c r="M67" s="75">
        <f t="shared" si="84"/>
        <v>0</v>
      </c>
      <c r="N67" s="75">
        <f t="shared" si="84"/>
        <v>65.009990000000002</v>
      </c>
      <c r="O67" s="75">
        <f t="shared" si="84"/>
        <v>0</v>
      </c>
      <c r="P67" s="75">
        <f t="shared" si="84"/>
        <v>110.36899</v>
      </c>
      <c r="Q67" s="75">
        <f t="shared" si="84"/>
        <v>0</v>
      </c>
      <c r="R67" s="75">
        <f t="shared" si="84"/>
        <v>211.52899000000002</v>
      </c>
      <c r="S67" s="75">
        <f t="shared" si="84"/>
        <v>0</v>
      </c>
      <c r="T67" s="75">
        <f t="shared" si="84"/>
        <v>748.39399000000003</v>
      </c>
      <c r="U67" s="75">
        <f t="shared" si="84"/>
        <v>0</v>
      </c>
      <c r="V67" s="75">
        <f t="shared" si="84"/>
        <v>672.68399999999997</v>
      </c>
      <c r="W67" s="75">
        <f t="shared" si="84"/>
        <v>0</v>
      </c>
      <c r="X67" s="75">
        <f t="shared" si="84"/>
        <v>655.82398999999998</v>
      </c>
      <c r="Y67" s="75">
        <f t="shared" si="84"/>
        <v>0</v>
      </c>
      <c r="Z67" s="75">
        <f t="shared" si="84"/>
        <v>144.12499</v>
      </c>
      <c r="AA67" s="75">
        <f t="shared" si="84"/>
        <v>0</v>
      </c>
      <c r="AB67" s="75">
        <f t="shared" si="84"/>
        <v>56.984990000000003</v>
      </c>
      <c r="AC67" s="75">
        <f t="shared" si="84"/>
        <v>0</v>
      </c>
      <c r="AD67" s="75">
        <f t="shared" si="84"/>
        <v>56.98509</v>
      </c>
      <c r="AE67" s="75">
        <f t="shared" si="84"/>
        <v>0</v>
      </c>
      <c r="AF67" s="92"/>
      <c r="AG67" s="137"/>
      <c r="AH67" s="37"/>
    </row>
    <row r="68" spans="1:34" s="36" customFormat="1" hidden="1" x14ac:dyDescent="0.25">
      <c r="A68" s="67" t="s">
        <v>103</v>
      </c>
      <c r="B68" s="75">
        <f t="shared" si="83"/>
        <v>18305.300000000003</v>
      </c>
      <c r="C68" s="75">
        <f t="shared" si="83"/>
        <v>478.73334999999997</v>
      </c>
      <c r="D68" s="75">
        <f t="shared" si="83"/>
        <v>478.73334999999997</v>
      </c>
      <c r="E68" s="75">
        <f t="shared" si="83"/>
        <v>433.89197999999999</v>
      </c>
      <c r="F68" s="61">
        <f t="shared" si="76"/>
        <v>2.370307943601033E-2</v>
      </c>
      <c r="G68" s="61">
        <f t="shared" si="77"/>
        <v>0.90633330642204057</v>
      </c>
      <c r="H68" s="75">
        <f t="shared" ref="H68:AE68" si="85">H11</f>
        <v>32.01952</v>
      </c>
      <c r="I68" s="75">
        <f t="shared" si="85"/>
        <v>10.93</v>
      </c>
      <c r="J68" s="75">
        <f t="shared" si="85"/>
        <v>446.71382999999997</v>
      </c>
      <c r="K68" s="75">
        <f t="shared" si="85"/>
        <v>422.96197999999998</v>
      </c>
      <c r="L68" s="75">
        <f t="shared" si="85"/>
        <v>363.25995999999998</v>
      </c>
      <c r="M68" s="75">
        <f t="shared" si="85"/>
        <v>0</v>
      </c>
      <c r="N68" s="75">
        <f t="shared" si="85"/>
        <v>1003.5742700000001</v>
      </c>
      <c r="O68" s="75">
        <f t="shared" si="85"/>
        <v>0</v>
      </c>
      <c r="P68" s="75">
        <f t="shared" si="85"/>
        <v>585.5814499999999</v>
      </c>
      <c r="Q68" s="75">
        <f t="shared" si="85"/>
        <v>0</v>
      </c>
      <c r="R68" s="75">
        <f t="shared" si="85"/>
        <v>4730.0614500000001</v>
      </c>
      <c r="S68" s="75">
        <f t="shared" si="85"/>
        <v>0</v>
      </c>
      <c r="T68" s="75">
        <f t="shared" si="85"/>
        <v>5813.9203799999996</v>
      </c>
      <c r="U68" s="75">
        <f t="shared" si="85"/>
        <v>0</v>
      </c>
      <c r="V68" s="75">
        <f t="shared" si="85"/>
        <v>3565.55501</v>
      </c>
      <c r="W68" s="75">
        <f t="shared" si="85"/>
        <v>0</v>
      </c>
      <c r="X68" s="75">
        <f t="shared" si="85"/>
        <v>840.36954999999989</v>
      </c>
      <c r="Y68" s="75">
        <f t="shared" si="85"/>
        <v>0</v>
      </c>
      <c r="Z68" s="75">
        <f t="shared" si="85"/>
        <v>672.67101000000002</v>
      </c>
      <c r="AA68" s="75">
        <f t="shared" si="85"/>
        <v>0</v>
      </c>
      <c r="AB68" s="75">
        <f t="shared" si="85"/>
        <v>245.10844</v>
      </c>
      <c r="AC68" s="75">
        <f t="shared" si="85"/>
        <v>0</v>
      </c>
      <c r="AD68" s="75">
        <f t="shared" si="85"/>
        <v>6.4651300000000003</v>
      </c>
      <c r="AE68" s="75">
        <f t="shared" si="85"/>
        <v>0</v>
      </c>
      <c r="AF68" s="92"/>
      <c r="AG68" s="137"/>
      <c r="AH68" s="37"/>
    </row>
    <row r="69" spans="1:34" s="36" customFormat="1" ht="33" hidden="1" x14ac:dyDescent="0.25">
      <c r="A69" s="94" t="s">
        <v>133</v>
      </c>
      <c r="B69" s="74" t="e">
        <f>#REF!</f>
        <v>#REF!</v>
      </c>
      <c r="C69" s="74" t="e">
        <f>#REF!</f>
        <v>#REF!</v>
      </c>
      <c r="D69" s="74" t="e">
        <f>#REF!</f>
        <v>#REF!</v>
      </c>
      <c r="E69" s="74" t="e">
        <f>#REF!</f>
        <v>#REF!</v>
      </c>
      <c r="F69" s="61" t="e">
        <f t="shared" si="76"/>
        <v>#REF!</v>
      </c>
      <c r="G69" s="61" t="e">
        <f t="shared" si="77"/>
        <v>#REF!</v>
      </c>
      <c r="H69" s="74" t="e">
        <f>#REF!</f>
        <v>#REF!</v>
      </c>
      <c r="I69" s="74" t="e">
        <f>#REF!</f>
        <v>#REF!</v>
      </c>
      <c r="J69" s="74" t="e">
        <f>#REF!</f>
        <v>#REF!</v>
      </c>
      <c r="K69" s="74" t="e">
        <f>#REF!</f>
        <v>#REF!</v>
      </c>
      <c r="L69" s="74" t="e">
        <f>#REF!</f>
        <v>#REF!</v>
      </c>
      <c r="M69" s="74" t="e">
        <f>#REF!</f>
        <v>#REF!</v>
      </c>
      <c r="N69" s="74" t="e">
        <f>#REF!</f>
        <v>#REF!</v>
      </c>
      <c r="O69" s="74" t="e">
        <f>#REF!</f>
        <v>#REF!</v>
      </c>
      <c r="P69" s="74" t="e">
        <f>#REF!</f>
        <v>#REF!</v>
      </c>
      <c r="Q69" s="74" t="e">
        <f>#REF!</f>
        <v>#REF!</v>
      </c>
      <c r="R69" s="74" t="e">
        <f>#REF!</f>
        <v>#REF!</v>
      </c>
      <c r="S69" s="74" t="e">
        <f>#REF!</f>
        <v>#REF!</v>
      </c>
      <c r="T69" s="74" t="e">
        <f>#REF!</f>
        <v>#REF!</v>
      </c>
      <c r="U69" s="74" t="e">
        <f>#REF!</f>
        <v>#REF!</v>
      </c>
      <c r="V69" s="74" t="e">
        <f>#REF!</f>
        <v>#REF!</v>
      </c>
      <c r="W69" s="74" t="e">
        <f>#REF!</f>
        <v>#REF!</v>
      </c>
      <c r="X69" s="74" t="e">
        <f>#REF!</f>
        <v>#REF!</v>
      </c>
      <c r="Y69" s="74" t="e">
        <f>#REF!</f>
        <v>#REF!</v>
      </c>
      <c r="Z69" s="74" t="e">
        <f>#REF!</f>
        <v>#REF!</v>
      </c>
      <c r="AA69" s="74" t="e">
        <f>#REF!</f>
        <v>#REF!</v>
      </c>
      <c r="AB69" s="74" t="e">
        <f>#REF!</f>
        <v>#REF!</v>
      </c>
      <c r="AC69" s="74" t="e">
        <f>#REF!</f>
        <v>#REF!</v>
      </c>
      <c r="AD69" s="74" t="e">
        <f>#REF!</f>
        <v>#REF!</v>
      </c>
      <c r="AE69" s="74" t="e">
        <f>#REF!</f>
        <v>#REF!</v>
      </c>
      <c r="AF69" s="93"/>
      <c r="AG69" s="137"/>
      <c r="AH69" s="37"/>
    </row>
    <row r="70" spans="1:34" s="36" customFormat="1" hidden="1" x14ac:dyDescent="0.25">
      <c r="A70" s="67" t="s">
        <v>134</v>
      </c>
      <c r="B70" s="74" t="e">
        <f>#REF!</f>
        <v>#REF!</v>
      </c>
      <c r="C70" s="74" t="e">
        <f>#REF!</f>
        <v>#REF!</v>
      </c>
      <c r="D70" s="74" t="e">
        <f>#REF!</f>
        <v>#REF!</v>
      </c>
      <c r="E70" s="74" t="e">
        <f>#REF!</f>
        <v>#REF!</v>
      </c>
      <c r="F70" s="61" t="e">
        <f t="shared" si="76"/>
        <v>#REF!</v>
      </c>
      <c r="G70" s="61" t="e">
        <f t="shared" si="77"/>
        <v>#REF!</v>
      </c>
      <c r="H70" s="74" t="e">
        <f>#REF!</f>
        <v>#REF!</v>
      </c>
      <c r="I70" s="74" t="e">
        <f>#REF!</f>
        <v>#REF!</v>
      </c>
      <c r="J70" s="74" t="e">
        <f>#REF!</f>
        <v>#REF!</v>
      </c>
      <c r="K70" s="74" t="e">
        <f>#REF!</f>
        <v>#REF!</v>
      </c>
      <c r="L70" s="74" t="e">
        <f>#REF!</f>
        <v>#REF!</v>
      </c>
      <c r="M70" s="74" t="e">
        <f>#REF!</f>
        <v>#REF!</v>
      </c>
      <c r="N70" s="74" t="e">
        <f>#REF!</f>
        <v>#REF!</v>
      </c>
      <c r="O70" s="74" t="e">
        <f>#REF!</f>
        <v>#REF!</v>
      </c>
      <c r="P70" s="74" t="e">
        <f>#REF!</f>
        <v>#REF!</v>
      </c>
      <c r="Q70" s="74" t="e">
        <f>#REF!</f>
        <v>#REF!</v>
      </c>
      <c r="R70" s="74" t="e">
        <f>#REF!</f>
        <v>#REF!</v>
      </c>
      <c r="S70" s="74" t="e">
        <f>#REF!</f>
        <v>#REF!</v>
      </c>
      <c r="T70" s="74" t="e">
        <f>#REF!</f>
        <v>#REF!</v>
      </c>
      <c r="U70" s="74" t="e">
        <f>#REF!</f>
        <v>#REF!</v>
      </c>
      <c r="V70" s="74" t="e">
        <f>#REF!</f>
        <v>#REF!</v>
      </c>
      <c r="W70" s="74" t="e">
        <f>#REF!</f>
        <v>#REF!</v>
      </c>
      <c r="X70" s="74" t="e">
        <f>#REF!</f>
        <v>#REF!</v>
      </c>
      <c r="Y70" s="74" t="e">
        <f>#REF!</f>
        <v>#REF!</v>
      </c>
      <c r="Z70" s="74" t="e">
        <f>#REF!</f>
        <v>#REF!</v>
      </c>
      <c r="AA70" s="74" t="e">
        <f>#REF!</f>
        <v>#REF!</v>
      </c>
      <c r="AB70" s="74" t="e">
        <f>#REF!</f>
        <v>#REF!</v>
      </c>
      <c r="AC70" s="74" t="e">
        <f>#REF!</f>
        <v>#REF!</v>
      </c>
      <c r="AD70" s="74" t="e">
        <f>#REF!</f>
        <v>#REF!</v>
      </c>
      <c r="AE70" s="74" t="e">
        <f>#REF!</f>
        <v>#REF!</v>
      </c>
      <c r="AF70" s="93"/>
      <c r="AG70" s="137"/>
      <c r="AH70" s="37"/>
    </row>
    <row r="71" spans="1:34" s="36" customFormat="1" hidden="1" x14ac:dyDescent="0.25">
      <c r="A71" s="67" t="s">
        <v>134</v>
      </c>
      <c r="B71" s="74">
        <f>B12</f>
        <v>0</v>
      </c>
      <c r="C71" s="74">
        <f>C12</f>
        <v>0</v>
      </c>
      <c r="D71" s="74">
        <f>D12</f>
        <v>0</v>
      </c>
      <c r="E71" s="74">
        <f>E12</f>
        <v>0</v>
      </c>
      <c r="F71" s="61" t="e">
        <f t="shared" si="76"/>
        <v>#DIV/0!</v>
      </c>
      <c r="G71" s="61" t="e">
        <f t="shared" si="77"/>
        <v>#DIV/0!</v>
      </c>
      <c r="H71" s="74">
        <f t="shared" ref="H71:AE71" si="86">H12</f>
        <v>0</v>
      </c>
      <c r="I71" s="74">
        <f t="shared" si="86"/>
        <v>0</v>
      </c>
      <c r="J71" s="74">
        <f t="shared" si="86"/>
        <v>0</v>
      </c>
      <c r="K71" s="74">
        <f t="shared" si="86"/>
        <v>0</v>
      </c>
      <c r="L71" s="74">
        <f t="shared" si="86"/>
        <v>0</v>
      </c>
      <c r="M71" s="74">
        <f t="shared" si="86"/>
        <v>0</v>
      </c>
      <c r="N71" s="74">
        <f t="shared" si="86"/>
        <v>0</v>
      </c>
      <c r="O71" s="74">
        <f t="shared" si="86"/>
        <v>0</v>
      </c>
      <c r="P71" s="74">
        <f t="shared" si="86"/>
        <v>0</v>
      </c>
      <c r="Q71" s="74">
        <f t="shared" si="86"/>
        <v>0</v>
      </c>
      <c r="R71" s="74">
        <f t="shared" si="86"/>
        <v>0</v>
      </c>
      <c r="S71" s="74">
        <f t="shared" si="86"/>
        <v>0</v>
      </c>
      <c r="T71" s="74">
        <f t="shared" si="86"/>
        <v>0</v>
      </c>
      <c r="U71" s="74">
        <f t="shared" si="86"/>
        <v>0</v>
      </c>
      <c r="V71" s="74">
        <f t="shared" si="86"/>
        <v>0</v>
      </c>
      <c r="W71" s="74">
        <f t="shared" si="86"/>
        <v>0</v>
      </c>
      <c r="X71" s="74">
        <f t="shared" si="86"/>
        <v>0</v>
      </c>
      <c r="Y71" s="74">
        <f t="shared" si="86"/>
        <v>0</v>
      </c>
      <c r="Z71" s="74">
        <f t="shared" si="86"/>
        <v>0</v>
      </c>
      <c r="AA71" s="74">
        <f t="shared" si="86"/>
        <v>0</v>
      </c>
      <c r="AB71" s="74">
        <f t="shared" si="86"/>
        <v>0</v>
      </c>
      <c r="AC71" s="74">
        <f t="shared" si="86"/>
        <v>0</v>
      </c>
      <c r="AD71" s="74">
        <f t="shared" si="86"/>
        <v>0</v>
      </c>
      <c r="AE71" s="74">
        <f t="shared" si="86"/>
        <v>0</v>
      </c>
      <c r="AF71" s="92"/>
      <c r="AG71" s="137"/>
      <c r="AH71" s="37"/>
    </row>
    <row r="72" spans="1:34" s="57" customFormat="1" ht="30" customHeight="1" x14ac:dyDescent="0.25">
      <c r="A72" s="206" t="s">
        <v>21</v>
      </c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8"/>
      <c r="AG72" s="137"/>
      <c r="AH72" s="58"/>
    </row>
    <row r="73" spans="1:34" s="36" customFormat="1" x14ac:dyDescent="0.25">
      <c r="A73" s="122" t="s">
        <v>25</v>
      </c>
      <c r="B73" s="77">
        <f>B9</f>
        <v>21106.400000000001</v>
      </c>
      <c r="C73" s="77">
        <f t="shared" ref="C73:E73" si="87">C9</f>
        <v>495.59333999999996</v>
      </c>
      <c r="D73" s="77">
        <f t="shared" si="87"/>
        <v>478.73334999999997</v>
      </c>
      <c r="E73" s="77">
        <f t="shared" si="87"/>
        <v>433.89197999999999</v>
      </c>
      <c r="F73" s="72">
        <f t="shared" ref="F73" si="88">E73/B73</f>
        <v>2.0557365538414887E-2</v>
      </c>
      <c r="G73" s="72">
        <f>E73/C73</f>
        <v>0.87550002185259401</v>
      </c>
      <c r="H73" s="77">
        <f t="shared" ref="H73:W75" si="89">H9</f>
        <v>32.01952</v>
      </c>
      <c r="I73" s="77">
        <f t="shared" si="89"/>
        <v>10.93</v>
      </c>
      <c r="J73" s="77">
        <f t="shared" si="89"/>
        <v>463.57381999999996</v>
      </c>
      <c r="K73" s="77">
        <f t="shared" si="89"/>
        <v>422.96197999999998</v>
      </c>
      <c r="L73" s="77">
        <f t="shared" si="89"/>
        <v>425.59494999999998</v>
      </c>
      <c r="M73" s="77">
        <f t="shared" si="89"/>
        <v>0</v>
      </c>
      <c r="N73" s="77">
        <f t="shared" si="89"/>
        <v>1068.5842600000001</v>
      </c>
      <c r="O73" s="77">
        <f t="shared" si="89"/>
        <v>0</v>
      </c>
      <c r="P73" s="77">
        <f t="shared" si="89"/>
        <v>695.95043999999984</v>
      </c>
      <c r="Q73" s="77">
        <f t="shared" si="89"/>
        <v>0</v>
      </c>
      <c r="R73" s="77">
        <f t="shared" si="89"/>
        <v>4941.5904399999999</v>
      </c>
      <c r="S73" s="77">
        <f t="shared" si="89"/>
        <v>0</v>
      </c>
      <c r="T73" s="77">
        <f t="shared" si="89"/>
        <v>6562.3143700000001</v>
      </c>
      <c r="U73" s="77">
        <f t="shared" si="89"/>
        <v>0</v>
      </c>
      <c r="V73" s="77">
        <f t="shared" si="89"/>
        <v>4238.2390100000002</v>
      </c>
      <c r="W73" s="77">
        <f t="shared" si="89"/>
        <v>0</v>
      </c>
      <c r="X73" s="77">
        <f t="shared" ref="I73:AD75" si="90">X9</f>
        <v>1496.1935399999998</v>
      </c>
      <c r="Y73" s="77">
        <f t="shared" si="90"/>
        <v>0</v>
      </c>
      <c r="Z73" s="77">
        <f t="shared" si="90"/>
        <v>816.79600000000005</v>
      </c>
      <c r="AA73" s="77">
        <f t="shared" si="90"/>
        <v>0</v>
      </c>
      <c r="AB73" s="77">
        <f t="shared" si="90"/>
        <v>302.09343000000001</v>
      </c>
      <c r="AC73" s="77">
        <f t="shared" si="90"/>
        <v>0</v>
      </c>
      <c r="AD73" s="77">
        <f t="shared" si="90"/>
        <v>63.450220000000002</v>
      </c>
      <c r="AE73" s="77">
        <f>AE9</f>
        <v>0</v>
      </c>
      <c r="AF73" s="83"/>
      <c r="AH73" s="37"/>
    </row>
    <row r="74" spans="1:34" s="36" customFormat="1" x14ac:dyDescent="0.25">
      <c r="A74" s="124" t="s">
        <v>102</v>
      </c>
      <c r="B74" s="81">
        <f t="shared" ref="B74:E74" si="91">B10</f>
        <v>2801.1</v>
      </c>
      <c r="C74" s="81">
        <f t="shared" si="91"/>
        <v>16.859990000000003</v>
      </c>
      <c r="D74" s="81">
        <f t="shared" si="91"/>
        <v>0</v>
      </c>
      <c r="E74" s="81">
        <f t="shared" si="91"/>
        <v>0</v>
      </c>
      <c r="F74" s="123">
        <f>E74/B74</f>
        <v>0</v>
      </c>
      <c r="G74" s="123">
        <f>E74/C74</f>
        <v>0</v>
      </c>
      <c r="H74" s="81">
        <f t="shared" si="89"/>
        <v>0</v>
      </c>
      <c r="I74" s="81">
        <f t="shared" si="90"/>
        <v>0</v>
      </c>
      <c r="J74" s="81">
        <f t="shared" si="90"/>
        <v>16.859990000000003</v>
      </c>
      <c r="K74" s="81">
        <f t="shared" si="90"/>
        <v>0</v>
      </c>
      <c r="L74" s="81">
        <f t="shared" si="90"/>
        <v>62.334990000000005</v>
      </c>
      <c r="M74" s="81">
        <f t="shared" si="90"/>
        <v>0</v>
      </c>
      <c r="N74" s="81">
        <f t="shared" si="90"/>
        <v>65.009990000000002</v>
      </c>
      <c r="O74" s="81">
        <f t="shared" si="90"/>
        <v>0</v>
      </c>
      <c r="P74" s="81">
        <f t="shared" si="90"/>
        <v>110.36899</v>
      </c>
      <c r="Q74" s="81">
        <f t="shared" si="90"/>
        <v>0</v>
      </c>
      <c r="R74" s="81">
        <f t="shared" si="90"/>
        <v>211.52899000000002</v>
      </c>
      <c r="S74" s="81">
        <f t="shared" si="90"/>
        <v>0</v>
      </c>
      <c r="T74" s="81">
        <f t="shared" si="90"/>
        <v>748.39399000000003</v>
      </c>
      <c r="U74" s="81">
        <f t="shared" si="90"/>
        <v>0</v>
      </c>
      <c r="V74" s="81">
        <f t="shared" si="90"/>
        <v>672.68399999999997</v>
      </c>
      <c r="W74" s="81">
        <f t="shared" si="90"/>
        <v>0</v>
      </c>
      <c r="X74" s="81">
        <f t="shared" si="90"/>
        <v>655.82398999999998</v>
      </c>
      <c r="Y74" s="81">
        <f t="shared" si="90"/>
        <v>0</v>
      </c>
      <c r="Z74" s="81">
        <f t="shared" si="90"/>
        <v>144.12499</v>
      </c>
      <c r="AA74" s="81">
        <f t="shared" si="90"/>
        <v>0</v>
      </c>
      <c r="AB74" s="81">
        <f t="shared" si="90"/>
        <v>56.984990000000003</v>
      </c>
      <c r="AC74" s="81">
        <f t="shared" si="90"/>
        <v>0</v>
      </c>
      <c r="AD74" s="81">
        <f t="shared" si="90"/>
        <v>56.98509</v>
      </c>
      <c r="AE74" s="81">
        <f>AE10</f>
        <v>0</v>
      </c>
      <c r="AF74" s="92"/>
      <c r="AH74" s="37"/>
    </row>
    <row r="75" spans="1:34" s="36" customFormat="1" x14ac:dyDescent="0.25">
      <c r="A75" s="124" t="s">
        <v>103</v>
      </c>
      <c r="B75" s="81">
        <f t="shared" ref="B75:E75" si="92">B11</f>
        <v>18305.300000000003</v>
      </c>
      <c r="C75" s="81">
        <f t="shared" si="92"/>
        <v>478.73334999999997</v>
      </c>
      <c r="D75" s="81">
        <f t="shared" si="92"/>
        <v>478.73334999999997</v>
      </c>
      <c r="E75" s="81">
        <f t="shared" si="92"/>
        <v>433.89197999999999</v>
      </c>
      <c r="F75" s="123">
        <f>E75/B75</f>
        <v>2.370307943601033E-2</v>
      </c>
      <c r="G75" s="123">
        <f>E75/C75</f>
        <v>0.90633330642204057</v>
      </c>
      <c r="H75" s="81">
        <f t="shared" si="89"/>
        <v>32.01952</v>
      </c>
      <c r="I75" s="81">
        <f t="shared" si="90"/>
        <v>10.93</v>
      </c>
      <c r="J75" s="81">
        <f t="shared" si="90"/>
        <v>446.71382999999997</v>
      </c>
      <c r="K75" s="81">
        <f t="shared" si="90"/>
        <v>422.96197999999998</v>
      </c>
      <c r="L75" s="81">
        <f t="shared" si="90"/>
        <v>363.25995999999998</v>
      </c>
      <c r="M75" s="81">
        <f t="shared" si="90"/>
        <v>0</v>
      </c>
      <c r="N75" s="81">
        <f t="shared" si="90"/>
        <v>1003.5742700000001</v>
      </c>
      <c r="O75" s="81">
        <f t="shared" si="90"/>
        <v>0</v>
      </c>
      <c r="P75" s="81">
        <f t="shared" si="90"/>
        <v>585.5814499999999</v>
      </c>
      <c r="Q75" s="81">
        <f t="shared" si="90"/>
        <v>0</v>
      </c>
      <c r="R75" s="81">
        <f t="shared" si="90"/>
        <v>4730.0614500000001</v>
      </c>
      <c r="S75" s="81">
        <f t="shared" si="90"/>
        <v>0</v>
      </c>
      <c r="T75" s="81">
        <f t="shared" si="90"/>
        <v>5813.9203799999996</v>
      </c>
      <c r="U75" s="81">
        <f t="shared" si="90"/>
        <v>0</v>
      </c>
      <c r="V75" s="81">
        <f t="shared" si="90"/>
        <v>3565.55501</v>
      </c>
      <c r="W75" s="81">
        <f t="shared" si="90"/>
        <v>0</v>
      </c>
      <c r="X75" s="81">
        <f t="shared" si="90"/>
        <v>840.36954999999989</v>
      </c>
      <c r="Y75" s="81">
        <f t="shared" si="90"/>
        <v>0</v>
      </c>
      <c r="Z75" s="81">
        <f t="shared" si="90"/>
        <v>672.67101000000002</v>
      </c>
      <c r="AA75" s="81">
        <f t="shared" si="90"/>
        <v>0</v>
      </c>
      <c r="AB75" s="81">
        <f t="shared" si="90"/>
        <v>245.10844</v>
      </c>
      <c r="AC75" s="81">
        <f t="shared" si="90"/>
        <v>0</v>
      </c>
      <c r="AD75" s="81">
        <f t="shared" si="90"/>
        <v>6.4651300000000003</v>
      </c>
      <c r="AE75" s="81">
        <f>AE11</f>
        <v>0</v>
      </c>
      <c r="AF75" s="92"/>
      <c r="AH75" s="37"/>
    </row>
    <row r="76" spans="1:34" s="105" customFormat="1" ht="21.75" customHeight="1" x14ac:dyDescent="0.25">
      <c r="A76" s="177" t="s">
        <v>109</v>
      </c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9"/>
      <c r="AG76" s="103"/>
      <c r="AH76" s="104"/>
    </row>
    <row r="77" spans="1:34" s="57" customFormat="1" ht="30.75" customHeight="1" x14ac:dyDescent="0.25">
      <c r="A77" s="203" t="s">
        <v>116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5"/>
      <c r="AG77" s="69"/>
      <c r="AH77" s="58"/>
    </row>
    <row r="78" spans="1:34" s="57" customFormat="1" ht="24" customHeight="1" x14ac:dyDescent="0.25">
      <c r="A78" s="122" t="s">
        <v>25</v>
      </c>
      <c r="B78" s="77">
        <f>SUM(B79:B80)</f>
        <v>3190.7999999999997</v>
      </c>
      <c r="C78" s="77">
        <f t="shared" ref="C78:E78" si="93">SUM(C79:C80)</f>
        <v>499.32447000000002</v>
      </c>
      <c r="D78" s="77">
        <f>SUM(D79:D80)</f>
        <v>498</v>
      </c>
      <c r="E78" s="77">
        <f t="shared" si="93"/>
        <v>452.32367999999997</v>
      </c>
      <c r="F78" s="72">
        <f>E78/B78</f>
        <v>0.14175870628055659</v>
      </c>
      <c r="G78" s="72">
        <f>E78/C78</f>
        <v>0.90587124640616945</v>
      </c>
      <c r="H78" s="77">
        <f>SUM(H79:H80)</f>
        <v>298.60859000000005</v>
      </c>
      <c r="I78" s="77">
        <f t="shared" ref="I78:AE78" si="94">SUM(I79:I80)</f>
        <v>240.62367999999998</v>
      </c>
      <c r="J78" s="77">
        <f t="shared" si="94"/>
        <v>200.71588</v>
      </c>
      <c r="K78" s="77">
        <f t="shared" si="94"/>
        <v>211.7</v>
      </c>
      <c r="L78" s="77">
        <f t="shared" si="94"/>
        <v>143.83987999999999</v>
      </c>
      <c r="M78" s="77">
        <f t="shared" si="94"/>
        <v>0</v>
      </c>
      <c r="N78" s="77">
        <f t="shared" si="94"/>
        <v>563.54088000000002</v>
      </c>
      <c r="O78" s="77">
        <f t="shared" si="94"/>
        <v>0</v>
      </c>
      <c r="P78" s="77">
        <f t="shared" si="94"/>
        <v>254.67588000000001</v>
      </c>
      <c r="Q78" s="77">
        <f t="shared" si="94"/>
        <v>0</v>
      </c>
      <c r="R78" s="77">
        <f t="shared" si="94"/>
        <v>423.04687999999999</v>
      </c>
      <c r="S78" s="77">
        <f t="shared" si="94"/>
        <v>0</v>
      </c>
      <c r="T78" s="77">
        <f t="shared" si="94"/>
        <v>371.95787999999999</v>
      </c>
      <c r="U78" s="77">
        <f t="shared" si="94"/>
        <v>0</v>
      </c>
      <c r="V78" s="77">
        <f t="shared" si="94"/>
        <v>181.27888000000002</v>
      </c>
      <c r="W78" s="77">
        <f t="shared" si="94"/>
        <v>0</v>
      </c>
      <c r="X78" s="77">
        <f t="shared" si="94"/>
        <v>139.95287999999999</v>
      </c>
      <c r="Y78" s="77">
        <f t="shared" si="94"/>
        <v>0</v>
      </c>
      <c r="Z78" s="77">
        <f t="shared" si="94"/>
        <v>268.03788000000003</v>
      </c>
      <c r="AA78" s="77">
        <f t="shared" si="94"/>
        <v>0</v>
      </c>
      <c r="AB78" s="77">
        <f t="shared" si="94"/>
        <v>178.15888000000001</v>
      </c>
      <c r="AC78" s="77">
        <f t="shared" si="94"/>
        <v>0</v>
      </c>
      <c r="AD78" s="77">
        <f t="shared" si="94"/>
        <v>166.98560999999998</v>
      </c>
      <c r="AE78" s="77">
        <f t="shared" si="94"/>
        <v>0</v>
      </c>
      <c r="AF78" s="183" t="s">
        <v>149</v>
      </c>
      <c r="AG78" s="137"/>
      <c r="AH78" s="58"/>
    </row>
    <row r="79" spans="1:34" s="57" customFormat="1" ht="46.5" customHeight="1" x14ac:dyDescent="0.25">
      <c r="A79" s="109" t="s">
        <v>102</v>
      </c>
      <c r="B79" s="81">
        <f>H79+J79+L79+N79+P79+R79+T79+V79+X79+Z79+AB79+AD79</f>
        <v>3190.7999999999997</v>
      </c>
      <c r="C79" s="75">
        <f>H79+J79</f>
        <v>499.32447000000002</v>
      </c>
      <c r="D79" s="75">
        <f>498000/1000</f>
        <v>498</v>
      </c>
      <c r="E79" s="82">
        <f>I79+K79+M79+O79+Q79+S79+U79+W79+Y79+AA79+AC79+AE79</f>
        <v>452.32367999999997</v>
      </c>
      <c r="F79" s="123">
        <f>E79/B79</f>
        <v>0.14175870628055659</v>
      </c>
      <c r="G79" s="123">
        <f>E79/C79</f>
        <v>0.90587124640616945</v>
      </c>
      <c r="H79" s="75">
        <f>298608.59/1000</f>
        <v>298.60859000000005</v>
      </c>
      <c r="I79" s="75">
        <f>240623.68/1000</f>
        <v>240.62367999999998</v>
      </c>
      <c r="J79" s="75">
        <f>200715.88/1000</f>
        <v>200.71588</v>
      </c>
      <c r="K79" s="75">
        <v>211.7</v>
      </c>
      <c r="L79" s="75">
        <f>143839.88/1000</f>
        <v>143.83987999999999</v>
      </c>
      <c r="M79" s="75"/>
      <c r="N79" s="75">
        <f>563540.88/1000</f>
        <v>563.54088000000002</v>
      </c>
      <c r="O79" s="75"/>
      <c r="P79" s="75">
        <f>254675.88/1000</f>
        <v>254.67588000000001</v>
      </c>
      <c r="Q79" s="75"/>
      <c r="R79" s="75">
        <f>423046.88/1000</f>
        <v>423.04687999999999</v>
      </c>
      <c r="S79" s="75"/>
      <c r="T79" s="75">
        <f>371957.88/1000</f>
        <v>371.95787999999999</v>
      </c>
      <c r="U79" s="75"/>
      <c r="V79" s="75">
        <f>181278.88/1000</f>
        <v>181.27888000000002</v>
      </c>
      <c r="W79" s="75"/>
      <c r="X79" s="75">
        <f>139952.88/1000</f>
        <v>139.95287999999999</v>
      </c>
      <c r="Y79" s="75"/>
      <c r="Z79" s="75">
        <f>268037.88/1000</f>
        <v>268.03788000000003</v>
      </c>
      <c r="AA79" s="75"/>
      <c r="AB79" s="75">
        <f>178158.88/1000</f>
        <v>178.15888000000001</v>
      </c>
      <c r="AC79" s="75"/>
      <c r="AD79" s="75">
        <f>166985.61/1000</f>
        <v>166.98560999999998</v>
      </c>
      <c r="AE79" s="79"/>
      <c r="AF79" s="184"/>
      <c r="AG79" s="137"/>
      <c r="AH79" s="58"/>
    </row>
    <row r="80" spans="1:34" s="36" customFormat="1" ht="37.5" customHeight="1" x14ac:dyDescent="0.25">
      <c r="A80" s="109" t="s">
        <v>103</v>
      </c>
      <c r="B80" s="81">
        <f>H80+J80+L80+N80+P80+R80+T80+V80+X80+Z80+AB80+AD80</f>
        <v>0</v>
      </c>
      <c r="C80" s="75">
        <f>H80+J80</f>
        <v>0</v>
      </c>
      <c r="D80" s="74"/>
      <c r="E80" s="82">
        <f>I80+K80+M80+O80+Q80+S80+U80+W80+Y80+AA80+AC80+AE80</f>
        <v>0</v>
      </c>
      <c r="F80" s="123" t="e">
        <f>E80/B80</f>
        <v>#DIV/0!</v>
      </c>
      <c r="G80" s="123" t="e">
        <f>E80/C80</f>
        <v>#DIV/0!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202"/>
      <c r="AG80" s="137"/>
      <c r="AH80" s="37"/>
    </row>
    <row r="81" spans="1:34" s="36" customFormat="1" ht="25.5" customHeight="1" x14ac:dyDescent="0.25">
      <c r="A81" s="203" t="s">
        <v>117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5"/>
      <c r="AG81" s="69"/>
      <c r="AH81" s="37"/>
    </row>
    <row r="82" spans="1:34" s="36" customFormat="1" x14ac:dyDescent="0.25">
      <c r="A82" s="122" t="s">
        <v>25</v>
      </c>
      <c r="B82" s="81">
        <f>SUM(B83:B84)</f>
        <v>0</v>
      </c>
      <c r="C82" s="81">
        <f t="shared" ref="C82" si="95">SUM(C83:C84)</f>
        <v>0</v>
      </c>
      <c r="D82" s="81">
        <f t="shared" ref="D82" si="96">SUM(D83:D84)</f>
        <v>0</v>
      </c>
      <c r="E82" s="81">
        <f t="shared" ref="E82" si="97">SUM(E83:E84)</f>
        <v>0</v>
      </c>
      <c r="F82" s="123" t="e">
        <f t="shared" ref="F82" si="98">E82/B82</f>
        <v>#DIV/0!</v>
      </c>
      <c r="G82" s="123" t="e">
        <f>E82/C82</f>
        <v>#DIV/0!</v>
      </c>
      <c r="H82" s="81">
        <f>SUM(H83:H84)</f>
        <v>0</v>
      </c>
      <c r="I82" s="81">
        <f t="shared" ref="I82" si="99">SUM(I83:I84)</f>
        <v>0</v>
      </c>
      <c r="J82" s="81">
        <f t="shared" ref="J82" si="100">SUM(J83:J84)</f>
        <v>0</v>
      </c>
      <c r="K82" s="81">
        <f t="shared" ref="K82" si="101">SUM(K83:K84)</f>
        <v>0</v>
      </c>
      <c r="L82" s="81">
        <f t="shared" ref="L82" si="102">SUM(L83:L84)</f>
        <v>0</v>
      </c>
      <c r="M82" s="81">
        <f t="shared" ref="M82" si="103">SUM(M83:M84)</f>
        <v>0</v>
      </c>
      <c r="N82" s="81">
        <f t="shared" ref="N82" si="104">SUM(N83:N84)</f>
        <v>0</v>
      </c>
      <c r="O82" s="81">
        <f t="shared" ref="O82" si="105">SUM(O83:O84)</f>
        <v>0</v>
      </c>
      <c r="P82" s="81">
        <f t="shared" ref="P82" si="106">SUM(P83:P84)</f>
        <v>0</v>
      </c>
      <c r="Q82" s="81">
        <f t="shared" ref="Q82" si="107">SUM(Q83:Q84)</f>
        <v>0</v>
      </c>
      <c r="R82" s="81">
        <f t="shared" ref="R82" si="108">SUM(R83:R84)</f>
        <v>0</v>
      </c>
      <c r="S82" s="81">
        <f t="shared" ref="S82" si="109">SUM(S83:S84)</f>
        <v>0</v>
      </c>
      <c r="T82" s="81">
        <f t="shared" ref="T82" si="110">SUM(T83:T84)</f>
        <v>0</v>
      </c>
      <c r="U82" s="81">
        <f t="shared" ref="U82" si="111">SUM(U83:U84)</f>
        <v>0</v>
      </c>
      <c r="V82" s="81">
        <f t="shared" ref="V82" si="112">SUM(V83:V84)</f>
        <v>0</v>
      </c>
      <c r="W82" s="81">
        <f t="shared" ref="W82" si="113">SUM(W83:W84)</f>
        <v>0</v>
      </c>
      <c r="X82" s="81">
        <f t="shared" ref="X82" si="114">SUM(X83:X84)</f>
        <v>0</v>
      </c>
      <c r="Y82" s="81">
        <f t="shared" ref="Y82" si="115">SUM(Y83:Y84)</f>
        <v>0</v>
      </c>
      <c r="Z82" s="81">
        <f t="shared" ref="Z82" si="116">SUM(Z83:Z84)</f>
        <v>0</v>
      </c>
      <c r="AA82" s="81">
        <f t="shared" ref="AA82" si="117">SUM(AA83:AA84)</f>
        <v>0</v>
      </c>
      <c r="AB82" s="81">
        <f t="shared" ref="AB82" si="118">SUM(AB83:AB84)</f>
        <v>0</v>
      </c>
      <c r="AC82" s="81">
        <f t="shared" ref="AC82" si="119">SUM(AC83:AC84)</f>
        <v>0</v>
      </c>
      <c r="AD82" s="81">
        <f t="shared" ref="AD82" si="120">SUM(AD83:AD84)</f>
        <v>0</v>
      </c>
      <c r="AE82" s="81">
        <f t="shared" ref="AE82" si="121">SUM(AE83:AE84)</f>
        <v>0</v>
      </c>
      <c r="AF82" s="199"/>
      <c r="AG82" s="69"/>
      <c r="AH82" s="37"/>
    </row>
    <row r="83" spans="1:34" s="57" customFormat="1" ht="24.75" customHeight="1" x14ac:dyDescent="0.25">
      <c r="A83" s="109" t="s">
        <v>102</v>
      </c>
      <c r="B83" s="81">
        <f>H83+J83+L83+N83+P83+R83+T83+V83+X83+Z83+AB83+AD83</f>
        <v>0</v>
      </c>
      <c r="C83" s="75">
        <f>H83+J83</f>
        <v>0</v>
      </c>
      <c r="D83" s="75"/>
      <c r="E83" s="82">
        <f>I83+K83+M83+O83+Q83+S83+U83+W83+Y83+AA83+AC83+AE83</f>
        <v>0</v>
      </c>
      <c r="F83" s="123" t="e">
        <f t="shared" ref="F83" si="122">E83/B83</f>
        <v>#DIV/0!</v>
      </c>
      <c r="G83" s="123" t="e">
        <f>E83/C83</f>
        <v>#DIV/0!</v>
      </c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107"/>
      <c r="T83" s="75"/>
      <c r="U83" s="107"/>
      <c r="V83" s="75"/>
      <c r="W83" s="107"/>
      <c r="X83" s="75"/>
      <c r="Y83" s="107"/>
      <c r="Z83" s="75"/>
      <c r="AA83" s="107"/>
      <c r="AB83" s="75"/>
      <c r="AC83" s="107"/>
      <c r="AD83" s="75"/>
      <c r="AE83" s="79"/>
      <c r="AF83" s="200"/>
      <c r="AG83" s="69"/>
      <c r="AH83" s="58"/>
    </row>
    <row r="84" spans="1:34" s="36" customFormat="1" ht="22.5" customHeight="1" x14ac:dyDescent="0.25">
      <c r="A84" s="109" t="s">
        <v>103</v>
      </c>
      <c r="B84" s="81">
        <f>H84+J84+L84+N84+P84+R84+T84+V84+X84+Z84+AB84+AD84</f>
        <v>0</v>
      </c>
      <c r="C84" s="75">
        <f>H84+J84</f>
        <v>0</v>
      </c>
      <c r="D84" s="74"/>
      <c r="E84" s="82">
        <f>I84+K84+M84+O84+Q84+S84+U84+W84+Y84+AA84+AC84+AE84</f>
        <v>0</v>
      </c>
      <c r="F84" s="123" t="e">
        <f>E84/B84</f>
        <v>#DIV/0!</v>
      </c>
      <c r="G84" s="123" t="e">
        <f>E84/C84</f>
        <v>#DIV/0!</v>
      </c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201"/>
      <c r="AG84" s="69"/>
      <c r="AH84" s="37"/>
    </row>
    <row r="85" spans="1:34" s="36" customFormat="1" ht="26.25" customHeight="1" x14ac:dyDescent="0.25">
      <c r="A85" s="215" t="s">
        <v>110</v>
      </c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7"/>
      <c r="AF85" s="183" t="s">
        <v>144</v>
      </c>
      <c r="AG85" s="69"/>
      <c r="AH85" s="37"/>
    </row>
    <row r="86" spans="1:34" s="36" customFormat="1" ht="21" customHeight="1" x14ac:dyDescent="0.25">
      <c r="A86" s="122" t="s">
        <v>25</v>
      </c>
      <c r="B86" s="81">
        <f>SUM(B87:B88)</f>
        <v>0</v>
      </c>
      <c r="C86" s="81">
        <f t="shared" ref="C86" si="123">SUM(C87:C88)</f>
        <v>0</v>
      </c>
      <c r="D86" s="81">
        <f t="shared" ref="D86" si="124">SUM(D87:D88)</f>
        <v>0</v>
      </c>
      <c r="E86" s="81">
        <f t="shared" ref="E86" si="125">SUM(E87:E88)</f>
        <v>0</v>
      </c>
      <c r="F86" s="123" t="e">
        <f>E86/B86</f>
        <v>#DIV/0!</v>
      </c>
      <c r="G86" s="123" t="e">
        <f>E86/C86</f>
        <v>#DIV/0!</v>
      </c>
      <c r="H86" s="81">
        <f>SUM(H87:H88)</f>
        <v>0</v>
      </c>
      <c r="I86" s="81">
        <f t="shared" ref="I86" si="126">SUM(I87:I88)</f>
        <v>0</v>
      </c>
      <c r="J86" s="81">
        <f t="shared" ref="J86" si="127">SUM(J87:J88)</f>
        <v>0</v>
      </c>
      <c r="K86" s="81">
        <f t="shared" ref="K86" si="128">SUM(K87:K88)</f>
        <v>0</v>
      </c>
      <c r="L86" s="81">
        <f t="shared" ref="L86" si="129">SUM(L87:L88)</f>
        <v>0</v>
      </c>
      <c r="M86" s="81">
        <f t="shared" ref="M86" si="130">SUM(M87:M88)</f>
        <v>0</v>
      </c>
      <c r="N86" s="81">
        <f t="shared" ref="N86" si="131">SUM(N87:N88)</f>
        <v>0</v>
      </c>
      <c r="O86" s="81">
        <f t="shared" ref="O86" si="132">SUM(O87:O88)</f>
        <v>0</v>
      </c>
      <c r="P86" s="81">
        <f t="shared" ref="P86" si="133">SUM(P87:P88)</f>
        <v>0</v>
      </c>
      <c r="Q86" s="81">
        <f t="shared" ref="Q86" si="134">SUM(Q87:Q88)</f>
        <v>0</v>
      </c>
      <c r="R86" s="81">
        <f t="shared" ref="R86" si="135">SUM(R87:R88)</f>
        <v>0</v>
      </c>
      <c r="S86" s="81">
        <f t="shared" ref="S86" si="136">SUM(S87:S88)</f>
        <v>0</v>
      </c>
      <c r="T86" s="81">
        <f t="shared" ref="T86" si="137">SUM(T87:T88)</f>
        <v>0</v>
      </c>
      <c r="U86" s="81">
        <f t="shared" ref="U86" si="138">SUM(U87:U88)</f>
        <v>0</v>
      </c>
      <c r="V86" s="81">
        <f t="shared" ref="V86" si="139">SUM(V87:V88)</f>
        <v>0</v>
      </c>
      <c r="W86" s="81">
        <f t="shared" ref="W86" si="140">SUM(W87:W88)</f>
        <v>0</v>
      </c>
      <c r="X86" s="81">
        <f t="shared" ref="X86" si="141">SUM(X87:X88)</f>
        <v>0</v>
      </c>
      <c r="Y86" s="81">
        <f t="shared" ref="Y86" si="142">SUM(Y87:Y88)</f>
        <v>0</v>
      </c>
      <c r="Z86" s="81">
        <f t="shared" ref="Z86" si="143">SUM(Z87:Z88)</f>
        <v>0</v>
      </c>
      <c r="AA86" s="81">
        <f t="shared" ref="AA86" si="144">SUM(AA87:AA88)</f>
        <v>0</v>
      </c>
      <c r="AB86" s="81">
        <f t="shared" ref="AB86" si="145">SUM(AB87:AB88)</f>
        <v>0</v>
      </c>
      <c r="AC86" s="81">
        <f t="shared" ref="AC86" si="146">SUM(AC87:AC88)</f>
        <v>0</v>
      </c>
      <c r="AD86" s="81">
        <f t="shared" ref="AD86" si="147">SUM(AD87:AD88)</f>
        <v>0</v>
      </c>
      <c r="AE86" s="81">
        <f t="shared" ref="AE86" si="148">SUM(AE87:AE88)</f>
        <v>0</v>
      </c>
      <c r="AF86" s="184"/>
      <c r="AG86" s="69"/>
      <c r="AH86" s="37"/>
    </row>
    <row r="87" spans="1:34" s="57" customFormat="1" ht="24.75" customHeight="1" x14ac:dyDescent="0.25">
      <c r="A87" s="109" t="s">
        <v>102</v>
      </c>
      <c r="B87" s="81">
        <f>H87+J87+L87+N87+P87+R87+T87+V87+X87+Z87+AB87+AD87</f>
        <v>0</v>
      </c>
      <c r="C87" s="75">
        <f>H87+J87</f>
        <v>0</v>
      </c>
      <c r="D87" s="75"/>
      <c r="E87" s="82">
        <f>I87+K87+M87+O87+Q87+S87+U87+W87+Y87+AA87+AC87+AE87</f>
        <v>0</v>
      </c>
      <c r="F87" s="123" t="e">
        <f>E87/B87</f>
        <v>#DIV/0!</v>
      </c>
      <c r="G87" s="123" t="e">
        <f>E87/C87</f>
        <v>#DIV/0!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184"/>
      <c r="AG87" s="69"/>
      <c r="AH87" s="58"/>
    </row>
    <row r="88" spans="1:34" s="34" customFormat="1" ht="23.25" customHeight="1" x14ac:dyDescent="0.25">
      <c r="A88" s="67" t="s">
        <v>103</v>
      </c>
      <c r="B88" s="81">
        <f>H88+J88+L88+N88+P88+R88+T88+V88+X88+Z88+AB88+AD88</f>
        <v>0</v>
      </c>
      <c r="C88" s="75">
        <f>H88+J88</f>
        <v>0</v>
      </c>
      <c r="D88" s="74"/>
      <c r="E88" s="82">
        <f>I88+K88+M88+O88+Q88+S88+U88+W88+Y88+AA88+AC88+AE88</f>
        <v>0</v>
      </c>
      <c r="F88" s="123" t="e">
        <f t="shared" ref="F88" si="149">E88/B88</f>
        <v>#DIV/0!</v>
      </c>
      <c r="G88" s="123" t="e">
        <f>E88/C88</f>
        <v>#DIV/0!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8"/>
      <c r="AF88" s="202"/>
      <c r="AG88" s="69"/>
      <c r="AH88" s="35"/>
    </row>
    <row r="89" spans="1:34" s="36" customFormat="1" ht="34.5" customHeight="1" x14ac:dyDescent="0.25">
      <c r="A89" s="215" t="s">
        <v>111</v>
      </c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7"/>
      <c r="AF89" s="183" t="s">
        <v>143</v>
      </c>
      <c r="AG89" s="69"/>
      <c r="AH89" s="37"/>
    </row>
    <row r="90" spans="1:34" s="36" customFormat="1" ht="21" customHeight="1" x14ac:dyDescent="0.25">
      <c r="A90" s="128" t="s">
        <v>25</v>
      </c>
      <c r="B90" s="81">
        <f>SUM(B91:B92)</f>
        <v>0</v>
      </c>
      <c r="C90" s="81">
        <f>SUM(C91:C92)</f>
        <v>0</v>
      </c>
      <c r="D90" s="81">
        <f t="shared" ref="D90" si="150">SUM(D91:D92)</f>
        <v>0</v>
      </c>
      <c r="E90" s="81">
        <f t="shared" ref="E90" si="151">SUM(E91:E92)</f>
        <v>0</v>
      </c>
      <c r="F90" s="123" t="e">
        <f t="shared" ref="F90" si="152">E90/B90</f>
        <v>#DIV/0!</v>
      </c>
      <c r="G90" s="123" t="e">
        <f>E90/C90</f>
        <v>#DIV/0!</v>
      </c>
      <c r="H90" s="81">
        <f>SUM(H91:H92)</f>
        <v>0</v>
      </c>
      <c r="I90" s="81">
        <f t="shared" ref="I90:AE90" si="153">SUM(I91:I92)</f>
        <v>0</v>
      </c>
      <c r="J90" s="81">
        <f t="shared" si="153"/>
        <v>0</v>
      </c>
      <c r="K90" s="81">
        <f t="shared" si="153"/>
        <v>0</v>
      </c>
      <c r="L90" s="81">
        <f t="shared" si="153"/>
        <v>0</v>
      </c>
      <c r="M90" s="81">
        <f t="shared" si="153"/>
        <v>0</v>
      </c>
      <c r="N90" s="81">
        <f t="shared" si="153"/>
        <v>0</v>
      </c>
      <c r="O90" s="81">
        <f t="shared" si="153"/>
        <v>0</v>
      </c>
      <c r="P90" s="81">
        <f t="shared" si="153"/>
        <v>0</v>
      </c>
      <c r="Q90" s="81">
        <f t="shared" si="153"/>
        <v>0</v>
      </c>
      <c r="R90" s="81">
        <f t="shared" si="153"/>
        <v>0</v>
      </c>
      <c r="S90" s="81">
        <f t="shared" si="153"/>
        <v>0</v>
      </c>
      <c r="T90" s="81">
        <f t="shared" si="153"/>
        <v>0</v>
      </c>
      <c r="U90" s="81">
        <f t="shared" si="153"/>
        <v>0</v>
      </c>
      <c r="V90" s="81">
        <f t="shared" si="153"/>
        <v>0</v>
      </c>
      <c r="W90" s="81">
        <f t="shared" si="153"/>
        <v>0</v>
      </c>
      <c r="X90" s="81">
        <f t="shared" si="153"/>
        <v>0</v>
      </c>
      <c r="Y90" s="81">
        <f t="shared" si="153"/>
        <v>0</v>
      </c>
      <c r="Z90" s="81">
        <f t="shared" si="153"/>
        <v>0</v>
      </c>
      <c r="AA90" s="81">
        <f t="shared" si="153"/>
        <v>0</v>
      </c>
      <c r="AB90" s="81">
        <f t="shared" si="153"/>
        <v>0</v>
      </c>
      <c r="AC90" s="81">
        <f t="shared" si="153"/>
        <v>0</v>
      </c>
      <c r="AD90" s="81">
        <f t="shared" si="153"/>
        <v>0</v>
      </c>
      <c r="AE90" s="81">
        <f t="shared" si="153"/>
        <v>0</v>
      </c>
      <c r="AF90" s="184"/>
      <c r="AG90" s="69"/>
      <c r="AH90" s="37"/>
    </row>
    <row r="91" spans="1:34" s="57" customFormat="1" ht="24.75" customHeight="1" x14ac:dyDescent="0.25">
      <c r="A91" s="109" t="s">
        <v>102</v>
      </c>
      <c r="B91" s="81">
        <f>H91+J91+L91+N91+P91+R91+T91+V91+X91+Z91+AB91+AD91</f>
        <v>0</v>
      </c>
      <c r="C91" s="75">
        <f>H91+J91</f>
        <v>0</v>
      </c>
      <c r="D91" s="75"/>
      <c r="E91" s="82">
        <f>I91+K91+M91+O91+Q91+S91+U91+W91+Y91+AA91+AC91+AE91</f>
        <v>0</v>
      </c>
      <c r="F91" s="123" t="e">
        <f>E91/B91</f>
        <v>#DIV/0!</v>
      </c>
      <c r="G91" s="123" t="e">
        <f>E91/C91</f>
        <v>#DIV/0!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184"/>
      <c r="AG91" s="69"/>
      <c r="AH91" s="58"/>
    </row>
    <row r="92" spans="1:34" s="34" customFormat="1" ht="23.25" customHeight="1" x14ac:dyDescent="0.25">
      <c r="A92" s="67" t="s">
        <v>103</v>
      </c>
      <c r="B92" s="81">
        <f>H92+J92+L92+N92+P92+R92+T92+V92+X92+Z92+AB92+AD92</f>
        <v>0</v>
      </c>
      <c r="C92" s="75">
        <f>H92+J92</f>
        <v>0</v>
      </c>
      <c r="D92" s="74"/>
      <c r="E92" s="82">
        <f>I92+K92+M92+O92+Q92+S92+U92+W92+Y92+AA92+AC92+AE92</f>
        <v>0</v>
      </c>
      <c r="F92" s="123" t="e">
        <f>E92/B92</f>
        <v>#DIV/0!</v>
      </c>
      <c r="G92" s="123" t="e">
        <f>E92/C92</f>
        <v>#DIV/0!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8"/>
      <c r="AF92" s="202"/>
      <c r="AG92" s="69"/>
      <c r="AH92" s="35"/>
    </row>
    <row r="93" spans="1:34" s="115" customFormat="1" ht="23.25" customHeight="1" x14ac:dyDescent="0.25">
      <c r="A93" s="206" t="s">
        <v>27</v>
      </c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8"/>
      <c r="AF93" s="114"/>
      <c r="AH93" s="116"/>
    </row>
    <row r="94" spans="1:34" s="36" customFormat="1" x14ac:dyDescent="0.25">
      <c r="A94" s="122" t="s">
        <v>25</v>
      </c>
      <c r="B94" s="77">
        <f>SUM(B95:B96)</f>
        <v>3190.7999999999997</v>
      </c>
      <c r="C94" s="77">
        <f t="shared" ref="C94:D94" si="154">SUM(C95:C96)</f>
        <v>499.32447000000002</v>
      </c>
      <c r="D94" s="77">
        <f t="shared" si="154"/>
        <v>498</v>
      </c>
      <c r="E94" s="77">
        <f>SUM(E95:E96)</f>
        <v>452.32367999999997</v>
      </c>
      <c r="F94" s="72">
        <f>E94/B94</f>
        <v>0.14175870628055659</v>
      </c>
      <c r="G94" s="72">
        <f>E94/C94</f>
        <v>0.90587124640616945</v>
      </c>
      <c r="H94" s="77">
        <f>SUM(H95:H96)</f>
        <v>298.60859000000005</v>
      </c>
      <c r="I94" s="77">
        <f t="shared" ref="I94:AE94" si="155">SUM(I95:I96)</f>
        <v>240.62367999999998</v>
      </c>
      <c r="J94" s="77">
        <f t="shared" si="155"/>
        <v>200.71588</v>
      </c>
      <c r="K94" s="77">
        <f t="shared" si="155"/>
        <v>211.7</v>
      </c>
      <c r="L94" s="77">
        <f t="shared" si="155"/>
        <v>143.83987999999999</v>
      </c>
      <c r="M94" s="77">
        <f t="shared" si="155"/>
        <v>0</v>
      </c>
      <c r="N94" s="77">
        <f t="shared" si="155"/>
        <v>563.54088000000002</v>
      </c>
      <c r="O94" s="77">
        <f t="shared" si="155"/>
        <v>0</v>
      </c>
      <c r="P94" s="77">
        <f t="shared" si="155"/>
        <v>254.67588000000001</v>
      </c>
      <c r="Q94" s="77">
        <f t="shared" si="155"/>
        <v>0</v>
      </c>
      <c r="R94" s="77">
        <f t="shared" si="155"/>
        <v>423.04687999999999</v>
      </c>
      <c r="S94" s="77">
        <f t="shared" si="155"/>
        <v>0</v>
      </c>
      <c r="T94" s="77">
        <f t="shared" si="155"/>
        <v>371.95787999999999</v>
      </c>
      <c r="U94" s="77">
        <f t="shared" si="155"/>
        <v>0</v>
      </c>
      <c r="V94" s="77">
        <f t="shared" si="155"/>
        <v>181.27888000000002</v>
      </c>
      <c r="W94" s="77">
        <f t="shared" si="155"/>
        <v>0</v>
      </c>
      <c r="X94" s="77">
        <f t="shared" si="155"/>
        <v>139.95287999999999</v>
      </c>
      <c r="Y94" s="77">
        <f t="shared" si="155"/>
        <v>0</v>
      </c>
      <c r="Z94" s="77">
        <f t="shared" si="155"/>
        <v>268.03788000000003</v>
      </c>
      <c r="AA94" s="77">
        <f t="shared" si="155"/>
        <v>0</v>
      </c>
      <c r="AB94" s="77">
        <f t="shared" si="155"/>
        <v>178.15888000000001</v>
      </c>
      <c r="AC94" s="77">
        <f t="shared" si="155"/>
        <v>0</v>
      </c>
      <c r="AD94" s="77">
        <f t="shared" si="155"/>
        <v>166.98560999999998</v>
      </c>
      <c r="AE94" s="77">
        <f t="shared" si="155"/>
        <v>0</v>
      </c>
      <c r="AF94" s="92"/>
      <c r="AH94" s="37"/>
    </row>
    <row r="95" spans="1:34" s="36" customFormat="1" x14ac:dyDescent="0.25">
      <c r="A95" s="124" t="s">
        <v>102</v>
      </c>
      <c r="B95" s="81">
        <f>H95+J95+L95+N95+P95+R95+T95+V95+X95+Z95+AB95+AD95</f>
        <v>3190.7999999999997</v>
      </c>
      <c r="C95" s="82">
        <f>C79+C83+C87+C91</f>
        <v>499.32447000000002</v>
      </c>
      <c r="D95" s="82">
        <f>D79+D83+D87+D91</f>
        <v>498</v>
      </c>
      <c r="E95" s="82">
        <f>I95+K95+M95+O95+Q95+S95+U95+W95+Y95+AA95+AC95+AE95</f>
        <v>452.32367999999997</v>
      </c>
      <c r="F95" s="123">
        <f t="shared" ref="F95:F96" si="156">E95/B95</f>
        <v>0.14175870628055659</v>
      </c>
      <c r="G95" s="123">
        <f>E95/C95</f>
        <v>0.90587124640616945</v>
      </c>
      <c r="H95" s="82">
        <f>H79+H83+H87+H91</f>
        <v>298.60859000000005</v>
      </c>
      <c r="I95" s="82">
        <f>I79+I83+I87+I91</f>
        <v>240.62367999999998</v>
      </c>
      <c r="J95" s="82">
        <f t="shared" ref="J95:AE95" si="157">J79+J83+J87+J91</f>
        <v>200.71588</v>
      </c>
      <c r="K95" s="82">
        <f t="shared" si="157"/>
        <v>211.7</v>
      </c>
      <c r="L95" s="82">
        <f t="shared" si="157"/>
        <v>143.83987999999999</v>
      </c>
      <c r="M95" s="82">
        <f t="shared" si="157"/>
        <v>0</v>
      </c>
      <c r="N95" s="82">
        <f t="shared" si="157"/>
        <v>563.54088000000002</v>
      </c>
      <c r="O95" s="82">
        <f t="shared" si="157"/>
        <v>0</v>
      </c>
      <c r="P95" s="82">
        <f t="shared" si="157"/>
        <v>254.67588000000001</v>
      </c>
      <c r="Q95" s="82">
        <f t="shared" si="157"/>
        <v>0</v>
      </c>
      <c r="R95" s="82">
        <f t="shared" si="157"/>
        <v>423.04687999999999</v>
      </c>
      <c r="S95" s="82">
        <f t="shared" si="157"/>
        <v>0</v>
      </c>
      <c r="T95" s="82">
        <f t="shared" si="157"/>
        <v>371.95787999999999</v>
      </c>
      <c r="U95" s="82">
        <f t="shared" si="157"/>
        <v>0</v>
      </c>
      <c r="V95" s="82">
        <f t="shared" si="157"/>
        <v>181.27888000000002</v>
      </c>
      <c r="W95" s="82">
        <f t="shared" si="157"/>
        <v>0</v>
      </c>
      <c r="X95" s="82">
        <f t="shared" si="157"/>
        <v>139.95287999999999</v>
      </c>
      <c r="Y95" s="82">
        <f t="shared" si="157"/>
        <v>0</v>
      </c>
      <c r="Z95" s="82">
        <f t="shared" si="157"/>
        <v>268.03788000000003</v>
      </c>
      <c r="AA95" s="82">
        <f t="shared" si="157"/>
        <v>0</v>
      </c>
      <c r="AB95" s="82">
        <f t="shared" si="157"/>
        <v>178.15888000000001</v>
      </c>
      <c r="AC95" s="82">
        <f t="shared" si="157"/>
        <v>0</v>
      </c>
      <c r="AD95" s="82">
        <f t="shared" si="157"/>
        <v>166.98560999999998</v>
      </c>
      <c r="AE95" s="82">
        <f t="shared" si="157"/>
        <v>0</v>
      </c>
      <c r="AF95" s="92"/>
      <c r="AH95" s="37"/>
    </row>
    <row r="96" spans="1:34" s="36" customFormat="1" x14ac:dyDescent="0.25">
      <c r="A96" s="124" t="s">
        <v>103</v>
      </c>
      <c r="B96" s="81">
        <f>H96+J96+L96+N96+P96+R96+T96+V96+X96+Z96+AB96+AD96</f>
        <v>0</v>
      </c>
      <c r="C96" s="82">
        <f>C80+C84+C88+C92</f>
        <v>0</v>
      </c>
      <c r="D96" s="82">
        <f>D80+D84+D88+D92</f>
        <v>0</v>
      </c>
      <c r="E96" s="82">
        <f>I96+K96+M96+O96+Q96+S96+U96+W96+Y96+AA96+AC96+AE96</f>
        <v>0</v>
      </c>
      <c r="F96" s="123" t="e">
        <f t="shared" si="156"/>
        <v>#DIV/0!</v>
      </c>
      <c r="G96" s="123" t="e">
        <f>E96/C96</f>
        <v>#DIV/0!</v>
      </c>
      <c r="H96" s="82">
        <f>H80+H84+H88+H92</f>
        <v>0</v>
      </c>
      <c r="I96" s="82">
        <f>I80+I84+I88+I92</f>
        <v>0</v>
      </c>
      <c r="J96" s="82">
        <f t="shared" ref="J96:AE96" si="158">J80+J84+J88+J92</f>
        <v>0</v>
      </c>
      <c r="K96" s="82">
        <f t="shared" si="158"/>
        <v>0</v>
      </c>
      <c r="L96" s="82">
        <f t="shared" si="158"/>
        <v>0</v>
      </c>
      <c r="M96" s="82">
        <f t="shared" si="158"/>
        <v>0</v>
      </c>
      <c r="N96" s="82">
        <f t="shared" si="158"/>
        <v>0</v>
      </c>
      <c r="O96" s="82">
        <f t="shared" si="158"/>
        <v>0</v>
      </c>
      <c r="P96" s="82">
        <f t="shared" si="158"/>
        <v>0</v>
      </c>
      <c r="Q96" s="82">
        <f t="shared" si="158"/>
        <v>0</v>
      </c>
      <c r="R96" s="82">
        <f t="shared" si="158"/>
        <v>0</v>
      </c>
      <c r="S96" s="82">
        <f t="shared" si="158"/>
        <v>0</v>
      </c>
      <c r="T96" s="82">
        <f t="shared" si="158"/>
        <v>0</v>
      </c>
      <c r="U96" s="82">
        <f t="shared" si="158"/>
        <v>0</v>
      </c>
      <c r="V96" s="82">
        <f t="shared" si="158"/>
        <v>0</v>
      </c>
      <c r="W96" s="82">
        <f t="shared" si="158"/>
        <v>0</v>
      </c>
      <c r="X96" s="82">
        <f t="shared" si="158"/>
        <v>0</v>
      </c>
      <c r="Y96" s="82">
        <f t="shared" si="158"/>
        <v>0</v>
      </c>
      <c r="Z96" s="82">
        <f t="shared" si="158"/>
        <v>0</v>
      </c>
      <c r="AA96" s="82">
        <f t="shared" si="158"/>
        <v>0</v>
      </c>
      <c r="AB96" s="82">
        <f t="shared" si="158"/>
        <v>0</v>
      </c>
      <c r="AC96" s="82">
        <f t="shared" si="158"/>
        <v>0</v>
      </c>
      <c r="AD96" s="82">
        <f t="shared" si="158"/>
        <v>0</v>
      </c>
      <c r="AE96" s="82">
        <f t="shared" si="158"/>
        <v>0</v>
      </c>
      <c r="AF96" s="92"/>
      <c r="AH96" s="37"/>
    </row>
    <row r="97" spans="1:34" s="105" customFormat="1" ht="30.75" customHeight="1" x14ac:dyDescent="0.25">
      <c r="A97" s="177" t="s">
        <v>112</v>
      </c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9"/>
      <c r="AG97" s="103"/>
      <c r="AH97" s="104"/>
    </row>
    <row r="98" spans="1:34" s="57" customFormat="1" ht="27" customHeight="1" x14ac:dyDescent="0.25">
      <c r="A98" s="203" t="s">
        <v>118</v>
      </c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5"/>
      <c r="AF98" s="183"/>
      <c r="AG98" s="69"/>
      <c r="AH98" s="58"/>
    </row>
    <row r="99" spans="1:34" s="57" customFormat="1" ht="23.25" customHeight="1" x14ac:dyDescent="0.25">
      <c r="A99" s="122" t="s">
        <v>25</v>
      </c>
      <c r="B99" s="77">
        <f>SUM(B100:B101)</f>
        <v>72.7</v>
      </c>
      <c r="C99" s="77">
        <f t="shared" ref="C99:E99" si="159">SUM(C100:C101)</f>
        <v>0</v>
      </c>
      <c r="D99" s="77">
        <f t="shared" si="159"/>
        <v>0</v>
      </c>
      <c r="E99" s="77">
        <f t="shared" si="159"/>
        <v>0</v>
      </c>
      <c r="F99" s="72">
        <f>E99/B99</f>
        <v>0</v>
      </c>
      <c r="G99" s="72" t="e">
        <f>E99/C99</f>
        <v>#DIV/0!</v>
      </c>
      <c r="H99" s="77">
        <f t="shared" ref="H99" si="160">SUM(H100:H101)</f>
        <v>0</v>
      </c>
      <c r="I99" s="77">
        <f t="shared" ref="I99" si="161">SUM(I100:I101)</f>
        <v>0</v>
      </c>
      <c r="J99" s="77">
        <f t="shared" ref="J99" si="162">SUM(J100:J101)</f>
        <v>0</v>
      </c>
      <c r="K99" s="77">
        <f t="shared" ref="K99" si="163">SUM(K100:K101)</f>
        <v>0</v>
      </c>
      <c r="L99" s="77">
        <f t="shared" ref="L99" si="164">SUM(L100:L101)</f>
        <v>0</v>
      </c>
      <c r="M99" s="77">
        <f t="shared" ref="M99" si="165">SUM(M100:M101)</f>
        <v>0</v>
      </c>
      <c r="N99" s="77">
        <f t="shared" ref="N99" si="166">SUM(N100:N101)</f>
        <v>0</v>
      </c>
      <c r="O99" s="77">
        <f t="shared" ref="O99" si="167">SUM(O100:O101)</f>
        <v>0</v>
      </c>
      <c r="P99" s="77">
        <f t="shared" ref="P99" si="168">SUM(P100:P101)</f>
        <v>0</v>
      </c>
      <c r="Q99" s="77">
        <f t="shared" ref="Q99" si="169">SUM(Q100:Q101)</f>
        <v>0</v>
      </c>
      <c r="R99" s="77">
        <f t="shared" ref="R99" si="170">SUM(R100:R101)</f>
        <v>0</v>
      </c>
      <c r="S99" s="77">
        <f t="shared" ref="S99" si="171">SUM(S100:S101)</f>
        <v>0</v>
      </c>
      <c r="T99" s="77">
        <f t="shared" ref="T99" si="172">SUM(T100:T101)</f>
        <v>0</v>
      </c>
      <c r="U99" s="77">
        <f t="shared" ref="U99" si="173">SUM(U100:U101)</f>
        <v>0</v>
      </c>
      <c r="V99" s="77">
        <f t="shared" ref="V99" si="174">SUM(V100:V101)</f>
        <v>0</v>
      </c>
      <c r="W99" s="77">
        <f t="shared" ref="W99" si="175">SUM(W100:W101)</f>
        <v>0</v>
      </c>
      <c r="X99" s="77">
        <f t="shared" ref="X99" si="176">SUM(X100:X101)</f>
        <v>0</v>
      </c>
      <c r="Y99" s="77">
        <f t="shared" ref="Y99" si="177">SUM(Y100:Y101)</f>
        <v>0</v>
      </c>
      <c r="Z99" s="77">
        <f t="shared" ref="Z99" si="178">SUM(Z100:Z101)</f>
        <v>0</v>
      </c>
      <c r="AA99" s="77">
        <f t="shared" ref="AA99" si="179">SUM(AA100:AA101)</f>
        <v>0</v>
      </c>
      <c r="AB99" s="77">
        <f t="shared" ref="AB99" si="180">SUM(AB100:AB101)</f>
        <v>0</v>
      </c>
      <c r="AC99" s="77">
        <f t="shared" ref="AC99" si="181">SUM(AC100:AC101)</f>
        <v>0</v>
      </c>
      <c r="AD99" s="77">
        <f t="shared" ref="AD99" si="182">SUM(AD100:AD101)</f>
        <v>72.7</v>
      </c>
      <c r="AE99" s="77">
        <f t="shared" ref="AE99" si="183">SUM(AE100:AE101)</f>
        <v>0</v>
      </c>
      <c r="AF99" s="184"/>
      <c r="AG99" s="137"/>
      <c r="AH99" s="58"/>
    </row>
    <row r="100" spans="1:34" s="57" customFormat="1" ht="24.75" customHeight="1" x14ac:dyDescent="0.25">
      <c r="A100" s="109" t="s">
        <v>102</v>
      </c>
      <c r="B100" s="81">
        <f>H100+J100+L100+N100+P100+R100+T100+V100+X100+Z100+AB100+AD100</f>
        <v>72.7</v>
      </c>
      <c r="C100" s="75">
        <f>H100+J100</f>
        <v>0</v>
      </c>
      <c r="D100" s="75"/>
      <c r="E100" s="82">
        <f>I100+K100+M100+O100+Q100+S100+U100+W100+Y100+AA100+AC100+AE100</f>
        <v>0</v>
      </c>
      <c r="F100" s="123">
        <f>E100/B100</f>
        <v>0</v>
      </c>
      <c r="G100" s="123" t="e">
        <f>E100/C100</f>
        <v>#DIV/0!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>
        <f>72700/1000</f>
        <v>72.7</v>
      </c>
      <c r="AE100" s="75"/>
      <c r="AF100" s="184"/>
      <c r="AG100" s="137"/>
      <c r="AH100" s="58"/>
    </row>
    <row r="101" spans="1:34" s="36" customFormat="1" x14ac:dyDescent="0.25">
      <c r="A101" s="67" t="s">
        <v>103</v>
      </c>
      <c r="B101" s="81">
        <f>H101+J101+L101+N101+P101+R101+T101+V101+X101+Z101+AB101+AD101</f>
        <v>0</v>
      </c>
      <c r="C101" s="75">
        <f>H101+J101</f>
        <v>0</v>
      </c>
      <c r="D101" s="75"/>
      <c r="E101" s="82">
        <f>I101+K101+M101+O101+Q101+S101+U101+W101+Y101+AA101+AC101+AE101</f>
        <v>0</v>
      </c>
      <c r="F101" s="123" t="e">
        <f t="shared" ref="F101" si="184">E101/B101</f>
        <v>#DIV/0!</v>
      </c>
      <c r="G101" s="123" t="e">
        <f>E101/C101</f>
        <v>#DIV/0!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202"/>
      <c r="AG101" s="137"/>
      <c r="AH101" s="37"/>
    </row>
    <row r="102" spans="1:34" s="57" customFormat="1" ht="30" customHeight="1" x14ac:dyDescent="0.25">
      <c r="A102" s="206" t="s">
        <v>52</v>
      </c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8"/>
      <c r="AF102" s="114"/>
      <c r="AH102" s="58"/>
    </row>
    <row r="103" spans="1:34" s="36" customFormat="1" x14ac:dyDescent="0.25">
      <c r="A103" s="122" t="s">
        <v>25</v>
      </c>
      <c r="B103" s="77">
        <f>SUM(B104:B105)</f>
        <v>72.7</v>
      </c>
      <c r="C103" s="77">
        <f t="shared" ref="C103" si="185">SUM(C104:C105)</f>
        <v>0</v>
      </c>
      <c r="D103" s="77">
        <f t="shared" ref="D103" si="186">SUM(D104:D105)</f>
        <v>0</v>
      </c>
      <c r="E103" s="77">
        <f t="shared" ref="E103" si="187">SUM(E104:E105)</f>
        <v>0</v>
      </c>
      <c r="F103" s="72">
        <f t="shared" ref="F103" si="188">E103/B103</f>
        <v>0</v>
      </c>
      <c r="G103" s="72" t="e">
        <f>E103/C103</f>
        <v>#DIV/0!</v>
      </c>
      <c r="H103" s="77">
        <f t="shared" ref="H103" si="189">SUM(H104:H105)</f>
        <v>0</v>
      </c>
      <c r="I103" s="77">
        <f t="shared" ref="I103" si="190">SUM(I104:I105)</f>
        <v>0</v>
      </c>
      <c r="J103" s="77">
        <f t="shared" ref="J103" si="191">SUM(J104:J105)</f>
        <v>0</v>
      </c>
      <c r="K103" s="77">
        <f t="shared" ref="K103" si="192">SUM(K104:K105)</f>
        <v>0</v>
      </c>
      <c r="L103" s="77">
        <f t="shared" ref="L103" si="193">SUM(L104:L105)</f>
        <v>0</v>
      </c>
      <c r="M103" s="77">
        <f t="shared" ref="M103" si="194">SUM(M104:M105)</f>
        <v>0</v>
      </c>
      <c r="N103" s="77">
        <f t="shared" ref="N103" si="195">SUM(N104:N105)</f>
        <v>0</v>
      </c>
      <c r="O103" s="77">
        <f t="shared" ref="O103" si="196">SUM(O104:O105)</f>
        <v>0</v>
      </c>
      <c r="P103" s="77">
        <f t="shared" ref="P103" si="197">SUM(P104:P105)</f>
        <v>0</v>
      </c>
      <c r="Q103" s="77">
        <f t="shared" ref="Q103" si="198">SUM(Q104:Q105)</f>
        <v>0</v>
      </c>
      <c r="R103" s="77">
        <f t="shared" ref="R103" si="199">SUM(R104:R105)</f>
        <v>0</v>
      </c>
      <c r="S103" s="77">
        <f t="shared" ref="S103" si="200">SUM(S104:S105)</f>
        <v>0</v>
      </c>
      <c r="T103" s="77">
        <f t="shared" ref="T103" si="201">SUM(T104:T105)</f>
        <v>0</v>
      </c>
      <c r="U103" s="77">
        <f t="shared" ref="U103" si="202">SUM(U104:U105)</f>
        <v>0</v>
      </c>
      <c r="V103" s="77">
        <f t="shared" ref="V103" si="203">SUM(V104:V105)</f>
        <v>0</v>
      </c>
      <c r="W103" s="77">
        <f t="shared" ref="W103" si="204">SUM(W104:W105)</f>
        <v>0</v>
      </c>
      <c r="X103" s="77">
        <f t="shared" ref="X103" si="205">SUM(X104:X105)</f>
        <v>0</v>
      </c>
      <c r="Y103" s="77">
        <f t="shared" ref="Y103" si="206">SUM(Y104:Y105)</f>
        <v>0</v>
      </c>
      <c r="Z103" s="77">
        <f t="shared" ref="Z103" si="207">SUM(Z104:Z105)</f>
        <v>0</v>
      </c>
      <c r="AA103" s="77">
        <f t="shared" ref="AA103" si="208">SUM(AA104:AA105)</f>
        <v>0</v>
      </c>
      <c r="AB103" s="77">
        <f t="shared" ref="AB103" si="209">SUM(AB104:AB105)</f>
        <v>0</v>
      </c>
      <c r="AC103" s="77">
        <f t="shared" ref="AC103" si="210">SUM(AC104:AC105)</f>
        <v>0</v>
      </c>
      <c r="AD103" s="77">
        <f t="shared" ref="AD103" si="211">SUM(AD104:AD105)</f>
        <v>72.7</v>
      </c>
      <c r="AE103" s="77">
        <f t="shared" ref="AE103" si="212">SUM(AE104:AE105)</f>
        <v>0</v>
      </c>
      <c r="AF103" s="92"/>
      <c r="AH103" s="37"/>
    </row>
    <row r="104" spans="1:34" s="36" customFormat="1" x14ac:dyDescent="0.25">
      <c r="A104" s="124" t="s">
        <v>102</v>
      </c>
      <c r="B104" s="81">
        <f>H104+J104+L104+N104+P104+R104+T104+V104+X104+Z104+AB104+AD104</f>
        <v>72.7</v>
      </c>
      <c r="C104" s="82">
        <f>C100</f>
        <v>0</v>
      </c>
      <c r="D104" s="82">
        <f>D100</f>
        <v>0</v>
      </c>
      <c r="E104" s="82">
        <f>I104+K104+M104+O104+Q104+S104+U104+W104+Y104+AA104+AC104+AE104</f>
        <v>0</v>
      </c>
      <c r="F104" s="123">
        <f t="shared" ref="F104:F105" si="213">E104/B104</f>
        <v>0</v>
      </c>
      <c r="G104" s="123" t="e">
        <f>E104/C104</f>
        <v>#DIV/0!</v>
      </c>
      <c r="H104" s="82">
        <f>H100</f>
        <v>0</v>
      </c>
      <c r="I104" s="82">
        <f>I100</f>
        <v>0</v>
      </c>
      <c r="J104" s="82">
        <f t="shared" ref="J104:AE104" si="214">J100</f>
        <v>0</v>
      </c>
      <c r="K104" s="82">
        <f t="shared" si="214"/>
        <v>0</v>
      </c>
      <c r="L104" s="82">
        <f t="shared" si="214"/>
        <v>0</v>
      </c>
      <c r="M104" s="82">
        <f t="shared" si="214"/>
        <v>0</v>
      </c>
      <c r="N104" s="82">
        <f t="shared" si="214"/>
        <v>0</v>
      </c>
      <c r="O104" s="82">
        <f t="shared" si="214"/>
        <v>0</v>
      </c>
      <c r="P104" s="82">
        <f t="shared" si="214"/>
        <v>0</v>
      </c>
      <c r="Q104" s="82">
        <f t="shared" si="214"/>
        <v>0</v>
      </c>
      <c r="R104" s="82">
        <f t="shared" si="214"/>
        <v>0</v>
      </c>
      <c r="S104" s="82">
        <f t="shared" si="214"/>
        <v>0</v>
      </c>
      <c r="T104" s="82">
        <f t="shared" si="214"/>
        <v>0</v>
      </c>
      <c r="U104" s="82">
        <f t="shared" si="214"/>
        <v>0</v>
      </c>
      <c r="V104" s="82">
        <f t="shared" si="214"/>
        <v>0</v>
      </c>
      <c r="W104" s="82">
        <f t="shared" si="214"/>
        <v>0</v>
      </c>
      <c r="X104" s="82">
        <f t="shared" si="214"/>
        <v>0</v>
      </c>
      <c r="Y104" s="82">
        <f t="shared" si="214"/>
        <v>0</v>
      </c>
      <c r="Z104" s="82">
        <f t="shared" si="214"/>
        <v>0</v>
      </c>
      <c r="AA104" s="82">
        <f t="shared" si="214"/>
        <v>0</v>
      </c>
      <c r="AB104" s="82">
        <f t="shared" si="214"/>
        <v>0</v>
      </c>
      <c r="AC104" s="82">
        <f t="shared" si="214"/>
        <v>0</v>
      </c>
      <c r="AD104" s="82">
        <f t="shared" si="214"/>
        <v>72.7</v>
      </c>
      <c r="AE104" s="82">
        <f t="shared" si="214"/>
        <v>0</v>
      </c>
      <c r="AF104" s="92"/>
      <c r="AH104" s="37"/>
    </row>
    <row r="105" spans="1:34" s="36" customFormat="1" x14ac:dyDescent="0.25">
      <c r="A105" s="124" t="s">
        <v>103</v>
      </c>
      <c r="B105" s="81">
        <f>H105+J105+L105+N105+P105+R105+T105+V105+X105+Z105+AB105+AD105</f>
        <v>0</v>
      </c>
      <c r="C105" s="82">
        <f>C101</f>
        <v>0</v>
      </c>
      <c r="D105" s="82">
        <f>D101</f>
        <v>0</v>
      </c>
      <c r="E105" s="82">
        <f>I105+K105+M105+O105+Q105+S105+U105+W105+Y105+AA105+AC105+AE105</f>
        <v>0</v>
      </c>
      <c r="F105" s="123" t="e">
        <f t="shared" si="213"/>
        <v>#DIV/0!</v>
      </c>
      <c r="G105" s="123" t="e">
        <f>E105/C105</f>
        <v>#DIV/0!</v>
      </c>
      <c r="H105" s="82">
        <f>H101</f>
        <v>0</v>
      </c>
      <c r="I105" s="82">
        <f>I101</f>
        <v>0</v>
      </c>
      <c r="J105" s="82">
        <f t="shared" ref="J105:AE105" si="215">J101</f>
        <v>0</v>
      </c>
      <c r="K105" s="82">
        <f t="shared" si="215"/>
        <v>0</v>
      </c>
      <c r="L105" s="82">
        <f t="shared" si="215"/>
        <v>0</v>
      </c>
      <c r="M105" s="82">
        <f t="shared" si="215"/>
        <v>0</v>
      </c>
      <c r="N105" s="82">
        <f t="shared" si="215"/>
        <v>0</v>
      </c>
      <c r="O105" s="82">
        <f t="shared" si="215"/>
        <v>0</v>
      </c>
      <c r="P105" s="82">
        <f t="shared" si="215"/>
        <v>0</v>
      </c>
      <c r="Q105" s="82">
        <f t="shared" si="215"/>
        <v>0</v>
      </c>
      <c r="R105" s="82">
        <f t="shared" si="215"/>
        <v>0</v>
      </c>
      <c r="S105" s="82">
        <f t="shared" si="215"/>
        <v>0</v>
      </c>
      <c r="T105" s="82">
        <f t="shared" si="215"/>
        <v>0</v>
      </c>
      <c r="U105" s="82">
        <f t="shared" si="215"/>
        <v>0</v>
      </c>
      <c r="V105" s="82">
        <f t="shared" si="215"/>
        <v>0</v>
      </c>
      <c r="W105" s="82">
        <f t="shared" si="215"/>
        <v>0</v>
      </c>
      <c r="X105" s="82">
        <f t="shared" si="215"/>
        <v>0</v>
      </c>
      <c r="Y105" s="82">
        <f t="shared" si="215"/>
        <v>0</v>
      </c>
      <c r="Z105" s="82">
        <f t="shared" si="215"/>
        <v>0</v>
      </c>
      <c r="AA105" s="82">
        <f t="shared" si="215"/>
        <v>0</v>
      </c>
      <c r="AB105" s="82">
        <f t="shared" si="215"/>
        <v>0</v>
      </c>
      <c r="AC105" s="82">
        <f t="shared" si="215"/>
        <v>0</v>
      </c>
      <c r="AD105" s="82">
        <f t="shared" si="215"/>
        <v>0</v>
      </c>
      <c r="AE105" s="82">
        <f t="shared" si="215"/>
        <v>0</v>
      </c>
      <c r="AF105" s="92"/>
      <c r="AH105" s="37"/>
    </row>
    <row r="106" spans="1:34" s="39" customFormat="1" ht="26.25" customHeight="1" x14ac:dyDescent="0.25">
      <c r="A106" s="180" t="s">
        <v>135</v>
      </c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2"/>
      <c r="AG106" s="69"/>
      <c r="AH106" s="40"/>
    </row>
    <row r="107" spans="1:34" s="100" customFormat="1" ht="19.5" customHeight="1" x14ac:dyDescent="0.25">
      <c r="A107" s="62" t="s">
        <v>25</v>
      </c>
      <c r="B107" s="77">
        <f>SUM(B108:B109)</f>
        <v>24369.9</v>
      </c>
      <c r="C107" s="77">
        <f t="shared" ref="C107" si="216">SUM(C108:C109)</f>
        <v>994.91781000000003</v>
      </c>
      <c r="D107" s="77">
        <f t="shared" ref="D107" si="217">SUM(D108:D109)</f>
        <v>976.73334999999997</v>
      </c>
      <c r="E107" s="77">
        <f t="shared" ref="E107" si="218">SUM(E108:E109)</f>
        <v>886.21565999999996</v>
      </c>
      <c r="F107" s="72">
        <f>E107/B107</f>
        <v>3.6365174251843456E-2</v>
      </c>
      <c r="G107" s="72">
        <f>E107/C107</f>
        <v>0.89074258304814136</v>
      </c>
      <c r="H107" s="77">
        <f>SUM(H108:H109)</f>
        <v>330.62811000000005</v>
      </c>
      <c r="I107" s="77">
        <f t="shared" ref="I107" si="219">SUM(I108:I109)</f>
        <v>251.55367999999999</v>
      </c>
      <c r="J107" s="77">
        <f t="shared" ref="J107" si="220">SUM(J108:J109)</f>
        <v>664.28970000000004</v>
      </c>
      <c r="K107" s="77">
        <f t="shared" ref="K107:L107" si="221">SUM(K108:K109)</f>
        <v>634.66197999999997</v>
      </c>
      <c r="L107" s="77">
        <f t="shared" si="221"/>
        <v>569.43482999999992</v>
      </c>
      <c r="M107" s="77">
        <f t="shared" ref="M107" si="222">SUM(M108:M109)</f>
        <v>0</v>
      </c>
      <c r="N107" s="77">
        <f t="shared" ref="N107" si="223">SUM(N108:N109)</f>
        <v>1632.1251400000001</v>
      </c>
      <c r="O107" s="77">
        <f t="shared" ref="O107:P107" si="224">SUM(O108:O109)</f>
        <v>0</v>
      </c>
      <c r="P107" s="77">
        <f t="shared" si="224"/>
        <v>950.62631999999985</v>
      </c>
      <c r="Q107" s="77">
        <f t="shared" ref="Q107" si="225">SUM(Q108:Q109)</f>
        <v>0</v>
      </c>
      <c r="R107" s="77">
        <f t="shared" ref="R107" si="226">SUM(R108:R109)</f>
        <v>5364.6373199999998</v>
      </c>
      <c r="S107" s="77">
        <f t="shared" ref="S107:T107" si="227">SUM(S108:S109)</f>
        <v>0</v>
      </c>
      <c r="T107" s="77">
        <f t="shared" si="227"/>
        <v>6934.27225</v>
      </c>
      <c r="U107" s="77">
        <f t="shared" ref="U107" si="228">SUM(U108:U109)</f>
        <v>0</v>
      </c>
      <c r="V107" s="77">
        <f t="shared" ref="V107" si="229">SUM(V108:V109)</f>
        <v>4419.5178900000001</v>
      </c>
      <c r="W107" s="77">
        <f t="shared" ref="W107:X107" si="230">SUM(W108:W109)</f>
        <v>0</v>
      </c>
      <c r="X107" s="77">
        <f t="shared" si="230"/>
        <v>1636.1464199999998</v>
      </c>
      <c r="Y107" s="77">
        <f t="shared" ref="Y107" si="231">SUM(Y108:Y109)</f>
        <v>0</v>
      </c>
      <c r="Z107" s="77">
        <f t="shared" ref="Z107" si="232">SUM(Z108:Z109)</f>
        <v>1084.8338800000001</v>
      </c>
      <c r="AA107" s="77">
        <f t="shared" ref="AA107:AB107" si="233">SUM(AA108:AA109)</f>
        <v>0</v>
      </c>
      <c r="AB107" s="77">
        <f t="shared" si="233"/>
        <v>480.25231000000002</v>
      </c>
      <c r="AC107" s="77">
        <f t="shared" ref="AC107" si="234">SUM(AC108:AC109)</f>
        <v>0</v>
      </c>
      <c r="AD107" s="77">
        <f t="shared" ref="AD107" si="235">SUM(AD108:AD109)</f>
        <v>303.13582999999994</v>
      </c>
      <c r="AE107" s="77">
        <f t="shared" ref="AE107" si="236">SUM(AE108:AE109)</f>
        <v>0</v>
      </c>
      <c r="AF107" s="101"/>
      <c r="AG107" s="137"/>
      <c r="AH107" s="99"/>
    </row>
    <row r="108" spans="1:34" s="36" customFormat="1" ht="24" customHeight="1" x14ac:dyDescent="0.25">
      <c r="A108" s="124" t="s">
        <v>102</v>
      </c>
      <c r="B108" s="81">
        <f>H108+J108+L108+N108+P108+R108+T108+V108+X108+Z108+AB108+AD108</f>
        <v>6064.5999999999995</v>
      </c>
      <c r="C108" s="81">
        <f>C74+C95+C104</f>
        <v>516.18446000000006</v>
      </c>
      <c r="D108" s="81">
        <f>D74+D95+D104</f>
        <v>498</v>
      </c>
      <c r="E108" s="82">
        <f>I108+K108+M108+O108+Q108+S108+U108+W108+Y108+AA108+AC108+AE108</f>
        <v>452.32367999999997</v>
      </c>
      <c r="F108" s="123">
        <f>E108/B108</f>
        <v>7.4584256175180552E-2</v>
      </c>
      <c r="G108" s="123">
        <f>E108/C108</f>
        <v>0.87628302487060517</v>
      </c>
      <c r="H108" s="81">
        <f>H74+H95+H104</f>
        <v>298.60859000000005</v>
      </c>
      <c r="I108" s="81">
        <f>I74+I95+I104</f>
        <v>240.62367999999998</v>
      </c>
      <c r="J108" s="81">
        <f t="shared" ref="J108:AE108" si="237">J74+J95+J104</f>
        <v>217.57587000000001</v>
      </c>
      <c r="K108" s="81">
        <f t="shared" si="237"/>
        <v>211.7</v>
      </c>
      <c r="L108" s="81">
        <f t="shared" si="237"/>
        <v>206.17487</v>
      </c>
      <c r="M108" s="81">
        <f>M74+M95+M104</f>
        <v>0</v>
      </c>
      <c r="N108" s="81">
        <f t="shared" si="237"/>
        <v>628.55087000000003</v>
      </c>
      <c r="O108" s="81">
        <f t="shared" si="237"/>
        <v>0</v>
      </c>
      <c r="P108" s="81">
        <f t="shared" si="237"/>
        <v>365.04487</v>
      </c>
      <c r="Q108" s="81">
        <f t="shared" si="237"/>
        <v>0</v>
      </c>
      <c r="R108" s="81">
        <f t="shared" si="237"/>
        <v>634.57587000000001</v>
      </c>
      <c r="S108" s="81">
        <f t="shared" si="237"/>
        <v>0</v>
      </c>
      <c r="T108" s="81">
        <f t="shared" si="237"/>
        <v>1120.35187</v>
      </c>
      <c r="U108" s="81">
        <f t="shared" si="237"/>
        <v>0</v>
      </c>
      <c r="V108" s="81">
        <f t="shared" si="237"/>
        <v>853.96288000000004</v>
      </c>
      <c r="W108" s="81">
        <f t="shared" si="237"/>
        <v>0</v>
      </c>
      <c r="X108" s="81">
        <f t="shared" si="237"/>
        <v>795.77686999999992</v>
      </c>
      <c r="Y108" s="81">
        <f t="shared" si="237"/>
        <v>0</v>
      </c>
      <c r="Z108" s="81">
        <f t="shared" si="237"/>
        <v>412.16287</v>
      </c>
      <c r="AA108" s="81">
        <f t="shared" si="237"/>
        <v>0</v>
      </c>
      <c r="AB108" s="81">
        <f t="shared" si="237"/>
        <v>235.14387000000002</v>
      </c>
      <c r="AC108" s="81">
        <f t="shared" si="237"/>
        <v>0</v>
      </c>
      <c r="AD108" s="81">
        <f t="shared" si="237"/>
        <v>296.67069999999995</v>
      </c>
      <c r="AE108" s="81">
        <f t="shared" si="237"/>
        <v>0</v>
      </c>
      <c r="AF108" s="110"/>
      <c r="AG108" s="137"/>
      <c r="AH108" s="37"/>
    </row>
    <row r="109" spans="1:34" s="36" customFormat="1" ht="27.75" customHeight="1" x14ac:dyDescent="0.25">
      <c r="A109" s="124" t="s">
        <v>103</v>
      </c>
      <c r="B109" s="81">
        <f>H109+J109+L109+N109+P109+R109+T109+V109+X109+Z109+AB109+AD109</f>
        <v>18305.300000000003</v>
      </c>
      <c r="C109" s="81">
        <f>C75+C96+C105</f>
        <v>478.73334999999997</v>
      </c>
      <c r="D109" s="81">
        <f>D75+D96+D105</f>
        <v>478.73334999999997</v>
      </c>
      <c r="E109" s="82">
        <f>I109+K109+M109+O109+Q109+S109+U109+W109+Y109+AA109+AC109+AE109</f>
        <v>433.89197999999999</v>
      </c>
      <c r="F109" s="123">
        <f>E109/B109</f>
        <v>2.370307943601033E-2</v>
      </c>
      <c r="G109" s="123">
        <f>E109/C109</f>
        <v>0.90633330642204057</v>
      </c>
      <c r="H109" s="81">
        <f>H75+H96+H105</f>
        <v>32.01952</v>
      </c>
      <c r="I109" s="81">
        <f>I75+I96+I105</f>
        <v>10.93</v>
      </c>
      <c r="J109" s="81">
        <f t="shared" ref="J109:AE109" si="238">J75+J96+J105</f>
        <v>446.71382999999997</v>
      </c>
      <c r="K109" s="81">
        <f t="shared" si="238"/>
        <v>422.96197999999998</v>
      </c>
      <c r="L109" s="81">
        <f t="shared" si="238"/>
        <v>363.25995999999998</v>
      </c>
      <c r="M109" s="81">
        <f t="shared" si="238"/>
        <v>0</v>
      </c>
      <c r="N109" s="81">
        <f t="shared" si="238"/>
        <v>1003.5742700000001</v>
      </c>
      <c r="O109" s="81">
        <f t="shared" si="238"/>
        <v>0</v>
      </c>
      <c r="P109" s="81">
        <f t="shared" si="238"/>
        <v>585.5814499999999</v>
      </c>
      <c r="Q109" s="81">
        <f t="shared" si="238"/>
        <v>0</v>
      </c>
      <c r="R109" s="81">
        <f t="shared" si="238"/>
        <v>4730.0614500000001</v>
      </c>
      <c r="S109" s="81">
        <f t="shared" si="238"/>
        <v>0</v>
      </c>
      <c r="T109" s="81">
        <f t="shared" si="238"/>
        <v>5813.9203799999996</v>
      </c>
      <c r="U109" s="81">
        <f t="shared" si="238"/>
        <v>0</v>
      </c>
      <c r="V109" s="81">
        <f t="shared" si="238"/>
        <v>3565.55501</v>
      </c>
      <c r="W109" s="81">
        <f t="shared" si="238"/>
        <v>0</v>
      </c>
      <c r="X109" s="81">
        <f t="shared" si="238"/>
        <v>840.36954999999989</v>
      </c>
      <c r="Y109" s="81">
        <f t="shared" si="238"/>
        <v>0</v>
      </c>
      <c r="Z109" s="81">
        <f t="shared" si="238"/>
        <v>672.67101000000002</v>
      </c>
      <c r="AA109" s="81">
        <f t="shared" si="238"/>
        <v>0</v>
      </c>
      <c r="AB109" s="81">
        <f t="shared" si="238"/>
        <v>245.10844</v>
      </c>
      <c r="AC109" s="81">
        <f t="shared" si="238"/>
        <v>0</v>
      </c>
      <c r="AD109" s="81">
        <f t="shared" si="238"/>
        <v>6.4651300000000003</v>
      </c>
      <c r="AE109" s="81">
        <f t="shared" si="238"/>
        <v>0</v>
      </c>
      <c r="AF109" s="110"/>
      <c r="AG109" s="137"/>
      <c r="AH109" s="37"/>
    </row>
    <row r="110" spans="1:34" s="36" customFormat="1" ht="9.75" customHeight="1" x14ac:dyDescent="0.3">
      <c r="A110" s="41"/>
      <c r="B110" s="41"/>
      <c r="C110" s="42"/>
      <c r="D110" s="42"/>
      <c r="E110" s="43"/>
      <c r="F110" s="43"/>
      <c r="G110" s="43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5"/>
      <c r="AH110" s="37"/>
    </row>
    <row r="111" spans="1:34" s="36" customFormat="1" ht="9.75" customHeight="1" x14ac:dyDescent="0.3">
      <c r="A111" s="41"/>
      <c r="B111" s="41"/>
      <c r="C111" s="42"/>
      <c r="D111" s="42"/>
      <c r="E111" s="43"/>
      <c r="F111" s="43"/>
      <c r="G111" s="43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5"/>
      <c r="AH111" s="37"/>
    </row>
    <row r="112" spans="1:34" s="36" customFormat="1" ht="47.25" customHeight="1" x14ac:dyDescent="0.3">
      <c r="A112" s="96" t="s">
        <v>139</v>
      </c>
      <c r="B112" s="51"/>
      <c r="C112" s="84"/>
      <c r="D112" s="173" t="s">
        <v>140</v>
      </c>
      <c r="E112" s="173"/>
      <c r="F112" s="43"/>
      <c r="G112" s="43"/>
      <c r="H112" s="174"/>
      <c r="I112" s="174"/>
      <c r="J112" s="174"/>
      <c r="K112" s="44"/>
      <c r="L112" s="175" t="s">
        <v>106</v>
      </c>
      <c r="M112" s="175"/>
      <c r="N112" s="175"/>
      <c r="O112" s="175"/>
      <c r="P112" s="97"/>
      <c r="Q112" s="97"/>
      <c r="R112" s="176" t="s">
        <v>136</v>
      </c>
      <c r="S112" s="176"/>
      <c r="T112" s="176"/>
      <c r="U112" s="175" t="s">
        <v>137</v>
      </c>
      <c r="V112" s="175"/>
      <c r="W112" s="175"/>
      <c r="X112" s="175"/>
      <c r="Y112" s="95"/>
      <c r="Z112" s="95"/>
      <c r="AA112" s="95"/>
      <c r="AB112" s="95"/>
      <c r="AC112" s="44"/>
      <c r="AD112" s="44"/>
      <c r="AE112" s="44"/>
      <c r="AF112" s="45"/>
      <c r="AH112" s="37"/>
    </row>
    <row r="113" spans="1:43" ht="33" customHeight="1" x14ac:dyDescent="0.3">
      <c r="B113" s="54" t="s">
        <v>104</v>
      </c>
      <c r="D113" s="189" t="s">
        <v>105</v>
      </c>
      <c r="E113" s="189"/>
      <c r="F113" s="189"/>
      <c r="G113" s="56"/>
      <c r="H113" s="190"/>
      <c r="I113" s="190"/>
      <c r="J113" s="190"/>
      <c r="P113" s="20" t="s">
        <v>104</v>
      </c>
      <c r="Q113" s="192" t="s">
        <v>105</v>
      </c>
      <c r="R113" s="192"/>
      <c r="S113" s="192"/>
      <c r="T113" s="192"/>
      <c r="U113" s="47"/>
      <c r="AA113" s="55"/>
      <c r="AB113" s="55"/>
      <c r="AC113" s="55"/>
      <c r="AD113" s="48"/>
    </row>
    <row r="114" spans="1:43" ht="10.5" customHeight="1" x14ac:dyDescent="0.3">
      <c r="A114" s="47"/>
      <c r="B114" s="46"/>
      <c r="E114" s="47"/>
      <c r="F114" s="48"/>
      <c r="G114" s="48"/>
      <c r="H114" s="49"/>
      <c r="I114" s="50"/>
      <c r="M114" s="34"/>
      <c r="N114" s="34"/>
      <c r="T114" s="20"/>
      <c r="U114" s="47"/>
      <c r="V114" s="20"/>
      <c r="W114" s="20"/>
      <c r="X114" s="20"/>
      <c r="Y114" s="20"/>
      <c r="AA114" s="20"/>
      <c r="AB114" s="34"/>
      <c r="AC114" s="55"/>
      <c r="AD114" s="48"/>
      <c r="AE114" s="20"/>
      <c r="AF114" s="19"/>
      <c r="AG114" s="19"/>
      <c r="AH114" s="52"/>
      <c r="AI114" s="19"/>
      <c r="AJ114" s="19"/>
      <c r="AK114" s="19"/>
      <c r="AL114" s="19"/>
      <c r="AM114" s="19"/>
      <c r="AN114" s="19"/>
      <c r="AO114" s="19"/>
      <c r="AP114" s="19"/>
      <c r="AQ114" s="18"/>
    </row>
    <row r="115" spans="1:43" ht="18.75" customHeight="1" x14ac:dyDescent="0.25">
      <c r="A115" s="191"/>
      <c r="B115" s="191"/>
      <c r="C115" s="191"/>
      <c r="D115" s="191"/>
      <c r="E115" s="191"/>
      <c r="F115" s="191"/>
      <c r="G115" s="191"/>
      <c r="H115" s="191"/>
      <c r="L115" s="191" t="s">
        <v>146</v>
      </c>
      <c r="M115" s="191"/>
      <c r="N115" s="191"/>
      <c r="O115" s="191"/>
      <c r="P115" s="191"/>
      <c r="U115" s="53"/>
      <c r="Y115" s="53"/>
    </row>
    <row r="116" spans="1:43" ht="15.75" customHeight="1" x14ac:dyDescent="0.25">
      <c r="A116" s="191"/>
      <c r="B116" s="191"/>
    </row>
    <row r="117" spans="1:43" ht="7.5" customHeight="1" x14ac:dyDescent="0.25">
      <c r="A117" s="59"/>
    </row>
    <row r="118" spans="1:43" ht="15.75" customHeight="1" x14ac:dyDescent="0.25"/>
    <row r="119" spans="1:43" ht="15.75" customHeight="1" x14ac:dyDescent="0.25"/>
    <row r="120" spans="1:43" ht="15.75" customHeight="1" x14ac:dyDescent="0.25">
      <c r="F120" s="20"/>
      <c r="G120" s="20"/>
    </row>
    <row r="121" spans="1:43" ht="15.75" customHeight="1" x14ac:dyDescent="0.25"/>
  </sheetData>
  <mergeCells count="67">
    <mergeCell ref="A102:AE102"/>
    <mergeCell ref="AF89:AF92"/>
    <mergeCell ref="A12:AE12"/>
    <mergeCell ref="A16:AE16"/>
    <mergeCell ref="A20:AE20"/>
    <mergeCell ref="A24:AE24"/>
    <mergeCell ref="A31:AE31"/>
    <mergeCell ref="A85:AE85"/>
    <mergeCell ref="A89:AE89"/>
    <mergeCell ref="A8:AF8"/>
    <mergeCell ref="A72:AF72"/>
    <mergeCell ref="A76:AF76"/>
    <mergeCell ref="A77:AF77"/>
    <mergeCell ref="A81:AF81"/>
    <mergeCell ref="AF24:AF27"/>
    <mergeCell ref="AF78:AF80"/>
    <mergeCell ref="AF12:AF15"/>
    <mergeCell ref="AF16:AF19"/>
    <mergeCell ref="AF20:AF23"/>
    <mergeCell ref="AG32:AI32"/>
    <mergeCell ref="D113:F113"/>
    <mergeCell ref="H113:J113"/>
    <mergeCell ref="A115:H115"/>
    <mergeCell ref="A116:B116"/>
    <mergeCell ref="Q113:T113"/>
    <mergeCell ref="L115:P115"/>
    <mergeCell ref="AF32:AF35"/>
    <mergeCell ref="B32:AE32"/>
    <mergeCell ref="B36:AE36"/>
    <mergeCell ref="B40:AE40"/>
    <mergeCell ref="AF82:AF84"/>
    <mergeCell ref="AF85:AF88"/>
    <mergeCell ref="AF98:AF101"/>
    <mergeCell ref="A98:AE98"/>
    <mergeCell ref="A93:AE93"/>
    <mergeCell ref="AD4:AE4"/>
    <mergeCell ref="D112:E112"/>
    <mergeCell ref="H112:J112"/>
    <mergeCell ref="L112:O112"/>
    <mergeCell ref="R112:T112"/>
    <mergeCell ref="U112:X112"/>
    <mergeCell ref="A7:AF7"/>
    <mergeCell ref="A97:AF97"/>
    <mergeCell ref="A106:AF106"/>
    <mergeCell ref="T4:U4"/>
    <mergeCell ref="V4:W4"/>
    <mergeCell ref="X4:Y4"/>
    <mergeCell ref="Z4:AA4"/>
    <mergeCell ref="AB4:AC4"/>
    <mergeCell ref="AF36:AF39"/>
    <mergeCell ref="AF40:AF43"/>
    <mergeCell ref="A2:AF2"/>
    <mergeCell ref="A3:T3"/>
    <mergeCell ref="AB3:AD3"/>
    <mergeCell ref="A4:A5"/>
    <mergeCell ref="B4:B5"/>
    <mergeCell ref="C4:C5"/>
    <mergeCell ref="D4:D5"/>
    <mergeCell ref="E4:E5"/>
    <mergeCell ref="F4:G4"/>
    <mergeCell ref="H4:I4"/>
    <mergeCell ref="AF4:AF5"/>
    <mergeCell ref="J4:K4"/>
    <mergeCell ref="L4:M4"/>
    <mergeCell ref="N4:O4"/>
    <mergeCell ref="P4:Q4"/>
    <mergeCell ref="R4:S4"/>
  </mergeCells>
  <printOptions horizontalCentered="1"/>
  <pageMargins left="0" right="0" top="0.98425196850393704" bottom="0.15748031496062992" header="0" footer="0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сетевой 2020</vt:lpstr>
      <vt:lpstr>'сетевой 2020'!Заголовки_для_печати</vt:lpstr>
      <vt:lpstr>'сетевой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2020-04-17T04:58:04Z</dcterms:modified>
</cp:coreProperties>
</file>