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Общая\УПРАВЛЕНИЕ ЭКОНОМИКИ\ЕЖЕМЕСЯЧНЫЕ ОТЧЕТЫ по МУНИЦИПАЛЬНЫМ ПРОГРАММАМ\2026 год\11. БЖД\2 Февраль\"/>
    </mc:Choice>
  </mc:AlternateContent>
  <bookViews>
    <workbookView xWindow="0" yWindow="0" windowWidth="28800" windowHeight="11835"/>
  </bookViews>
  <sheets>
    <sheet name="2026 год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M29" i="1"/>
  <c r="M18" i="1"/>
  <c r="M16" i="1"/>
  <c r="AG12" i="1" l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AD26" i="1"/>
  <c r="AB26" i="1"/>
  <c r="Z26" i="1"/>
  <c r="Z25" i="1" s="1"/>
  <c r="X26" i="1"/>
  <c r="V26" i="1"/>
  <c r="T26" i="1"/>
  <c r="R26" i="1"/>
  <c r="P26" i="1"/>
  <c r="AF26" i="1"/>
  <c r="AB25" i="1"/>
  <c r="AI26" i="1"/>
  <c r="G26" i="1"/>
  <c r="I26" i="1" s="1"/>
  <c r="F26" i="1"/>
  <c r="F25" i="1" s="1"/>
  <c r="E26" i="1"/>
  <c r="D26" i="1"/>
  <c r="D25" i="1" s="1"/>
  <c r="AG25" i="1"/>
  <c r="AF25" i="1"/>
  <c r="AE25" i="1"/>
  <c r="AD25" i="1"/>
  <c r="AC25" i="1"/>
  <c r="AA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G25" i="1"/>
  <c r="E25" i="1"/>
  <c r="AI25" i="1" s="1"/>
  <c r="H25" i="1" l="1"/>
  <c r="I25" i="1"/>
  <c r="H26" i="1"/>
  <c r="AF31" i="1"/>
  <c r="AD31" i="1"/>
  <c r="AB31" i="1"/>
  <c r="Z31" i="1"/>
  <c r="X31" i="1"/>
  <c r="V31" i="1"/>
  <c r="T31" i="1"/>
  <c r="R31" i="1"/>
  <c r="P31" i="1"/>
  <c r="N31" i="1"/>
  <c r="L31" i="1"/>
  <c r="AF18" i="1"/>
  <c r="AD18" i="1"/>
  <c r="AB18" i="1"/>
  <c r="Z18" i="1"/>
  <c r="X18" i="1"/>
  <c r="V18" i="1"/>
  <c r="T18" i="1"/>
  <c r="R18" i="1"/>
  <c r="E31" i="1"/>
  <c r="E29" i="1"/>
  <c r="E24" i="1"/>
  <c r="E22" i="1"/>
  <c r="E20" i="1"/>
  <c r="E18" i="1"/>
  <c r="E16" i="1"/>
  <c r="E14" i="1"/>
  <c r="K31" i="1"/>
  <c r="K18" i="1"/>
  <c r="K29" i="1"/>
  <c r="K16" i="1"/>
  <c r="G16" i="1"/>
  <c r="F16" i="1" s="1"/>
  <c r="N9" i="1" l="1"/>
  <c r="N8" i="1" s="1"/>
  <c r="P11" i="1"/>
  <c r="Q9" i="1"/>
  <c r="Q8" i="1" s="1"/>
  <c r="T11" i="1"/>
  <c r="V9" i="1"/>
  <c r="V8" i="1" s="1"/>
  <c r="X11" i="1"/>
  <c r="Y9" i="1"/>
  <c r="Y8" i="1" s="1"/>
  <c r="Z11" i="1"/>
  <c r="AB9" i="1"/>
  <c r="AB8" i="1" s="1"/>
  <c r="AD9" i="1"/>
  <c r="AD8" i="1" s="1"/>
  <c r="AF9" i="1"/>
  <c r="AF8" i="1" s="1"/>
  <c r="AG11" i="1"/>
  <c r="E23" i="1"/>
  <c r="AD15" i="1"/>
  <c r="AF15" i="1"/>
  <c r="D18" i="1"/>
  <c r="D17" i="1" s="1"/>
  <c r="D14" i="1"/>
  <c r="E13" i="1"/>
  <c r="AC13" i="1"/>
  <c r="E28" i="1"/>
  <c r="D29" i="1"/>
  <c r="D31" i="1"/>
  <c r="G31" i="1"/>
  <c r="F31" i="1" s="1"/>
  <c r="F30" i="1" s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G29" i="1"/>
  <c r="F29" i="1" s="1"/>
  <c r="F28" i="1" s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D28" i="1"/>
  <c r="G24" i="1"/>
  <c r="F24" i="1" s="1"/>
  <c r="F23" i="1" s="1"/>
  <c r="D24" i="1"/>
  <c r="D23" i="1" s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G22" i="1"/>
  <c r="F22" i="1" s="1"/>
  <c r="F21" i="1" s="1"/>
  <c r="D22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G20" i="1"/>
  <c r="F20" i="1" s="1"/>
  <c r="F19" i="1" s="1"/>
  <c r="E19" i="1"/>
  <c r="D20" i="1"/>
  <c r="D19" i="1" s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G18" i="1"/>
  <c r="F18" i="1" s="1"/>
  <c r="F17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D16" i="1"/>
  <c r="D15" i="1" s="1"/>
  <c r="AG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G14" i="1"/>
  <c r="F14" i="1" s="1"/>
  <c r="F13" i="1" s="1"/>
  <c r="AG13" i="1"/>
  <c r="AF13" i="1"/>
  <c r="AE13" i="1"/>
  <c r="AD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AE11" i="1"/>
  <c r="AC11" i="1"/>
  <c r="AA9" i="1"/>
  <c r="AA8" i="1" s="1"/>
  <c r="W11" i="1"/>
  <c r="U9" i="1"/>
  <c r="U8" i="1" s="1"/>
  <c r="S9" i="1"/>
  <c r="S8" i="1" s="1"/>
  <c r="R9" i="1"/>
  <c r="R8" i="1" s="1"/>
  <c r="O11" i="1"/>
  <c r="M11" i="1"/>
  <c r="K9" i="1"/>
  <c r="P9" i="1"/>
  <c r="P8" i="1" s="1"/>
  <c r="L9" i="1" l="1"/>
  <c r="E12" i="1"/>
  <c r="I22" i="1"/>
  <c r="G19" i="1"/>
  <c r="X9" i="1"/>
  <c r="X8" i="1" s="1"/>
  <c r="M9" i="1"/>
  <c r="M8" i="1" s="1"/>
  <c r="AF11" i="1"/>
  <c r="AE9" i="1"/>
  <c r="AE8" i="1" s="1"/>
  <c r="AC9" i="1"/>
  <c r="AC8" i="1" s="1"/>
  <c r="W9" i="1"/>
  <c r="W8" i="1" s="1"/>
  <c r="U11" i="1"/>
  <c r="G13" i="1"/>
  <c r="I13" i="1" s="1"/>
  <c r="H14" i="1"/>
  <c r="V11" i="1"/>
  <c r="AI20" i="1"/>
  <c r="I19" i="1"/>
  <c r="O9" i="1"/>
  <c r="O8" i="1" s="1"/>
  <c r="H18" i="1"/>
  <c r="G21" i="1"/>
  <c r="N11" i="1"/>
  <c r="H22" i="1"/>
  <c r="I29" i="1"/>
  <c r="AD11" i="1"/>
  <c r="I16" i="1"/>
  <c r="H20" i="1"/>
  <c r="G30" i="1"/>
  <c r="AI24" i="1"/>
  <c r="L11" i="1"/>
  <c r="I14" i="1"/>
  <c r="G17" i="1"/>
  <c r="T9" i="1"/>
  <c r="T8" i="1" s="1"/>
  <c r="AB11" i="1"/>
  <c r="AI18" i="1"/>
  <c r="AI19" i="1"/>
  <c r="AI22" i="1"/>
  <c r="G28" i="1"/>
  <c r="I28" i="1" s="1"/>
  <c r="AI16" i="1"/>
  <c r="E11" i="1"/>
  <c r="F15" i="1"/>
  <c r="K8" i="1"/>
  <c r="G12" i="1"/>
  <c r="AI14" i="1"/>
  <c r="E17" i="1"/>
  <c r="H19" i="1"/>
  <c r="I20" i="1"/>
  <c r="H29" i="1"/>
  <c r="E15" i="1"/>
  <c r="I18" i="1"/>
  <c r="D21" i="1"/>
  <c r="AI29" i="1"/>
  <c r="Q11" i="1"/>
  <c r="R11" i="1"/>
  <c r="E21" i="1"/>
  <c r="G23" i="1"/>
  <c r="AI23" i="1" s="1"/>
  <c r="H24" i="1"/>
  <c r="AG9" i="1"/>
  <c r="AG8" i="1" s="1"/>
  <c r="D13" i="1"/>
  <c r="J9" i="1"/>
  <c r="Z9" i="1"/>
  <c r="Z8" i="1" s="1"/>
  <c r="K11" i="1"/>
  <c r="S11" i="1"/>
  <c r="AA11" i="1"/>
  <c r="D12" i="1"/>
  <c r="D11" i="1" s="1"/>
  <c r="G15" i="1"/>
  <c r="H16" i="1"/>
  <c r="I24" i="1"/>
  <c r="E30" i="1"/>
  <c r="Y11" i="1"/>
  <c r="J11" i="1"/>
  <c r="I31" i="1"/>
  <c r="L8" i="1" l="1"/>
  <c r="E9" i="1"/>
  <c r="H21" i="1"/>
  <c r="AI17" i="1"/>
  <c r="F9" i="1"/>
  <c r="F8" i="1" s="1"/>
  <c r="H13" i="1"/>
  <c r="AI13" i="1"/>
  <c r="I17" i="1"/>
  <c r="H28" i="1"/>
  <c r="H17" i="1"/>
  <c r="AI28" i="1"/>
  <c r="I15" i="1"/>
  <c r="H15" i="1"/>
  <c r="F12" i="1"/>
  <c r="F11" i="1" s="1"/>
  <c r="H12" i="1"/>
  <c r="G11" i="1"/>
  <c r="I12" i="1"/>
  <c r="I23" i="1"/>
  <c r="H23" i="1"/>
  <c r="AI21" i="1"/>
  <c r="I21" i="1"/>
  <c r="G9" i="1"/>
  <c r="D9" i="1"/>
  <c r="D8" i="1" s="1"/>
  <c r="J8" i="1"/>
  <c r="I30" i="1"/>
  <c r="AI15" i="1"/>
  <c r="AI12" i="1"/>
  <c r="H11" i="1" l="1"/>
  <c r="I11" i="1"/>
  <c r="I9" i="1"/>
  <c r="G8" i="1"/>
  <c r="H9" i="1"/>
  <c r="AI9" i="1"/>
  <c r="E8" i="1"/>
  <c r="AI11" i="1"/>
  <c r="AI8" i="1" l="1"/>
  <c r="I8" i="1"/>
  <c r="H8" i="1"/>
  <c r="D30" i="1"/>
  <c r="H30" i="1" s="1"/>
  <c r="H31" i="1"/>
</calcChain>
</file>

<file path=xl/sharedStrings.xml><?xml version="1.0" encoding="utf-8"?>
<sst xmlns="http://schemas.openxmlformats.org/spreadsheetml/2006/main" count="90" uniqueCount="46">
  <si>
    <t xml:space="preserve">Отчет о ходе реализации муниципальной программы </t>
  </si>
  <si>
    <t xml:space="preserve"> "Безопасность жизнедеятельности населения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</si>
  <si>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</si>
  <si>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</si>
  <si>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</si>
  <si>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</si>
  <si>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</si>
  <si>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</si>
  <si>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</si>
  <si>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</si>
  <si>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</si>
  <si>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</si>
  <si>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</si>
  <si>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</si>
  <si>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</si>
  <si>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</si>
  <si>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</si>
  <si>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</si>
  <si>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</si>
  <si>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</si>
  <si>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</si>
  <si>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</si>
  <si>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</si>
  <si>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</si>
  <si>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</si>
  <si>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</si>
  <si>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</si>
  <si>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</si>
  <si>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</si>
  <si>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</si>
  <si>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1.</t>
  </si>
  <si>
    <t>Направление (подпрограмма) «Организация и обеспечение мероприятий в сфере гражданской обороны, защиты населения и территории города Когалыма от чрезвычайных ситуаций»</t>
  </si>
  <si>
    <t xml:space="preserve"> 1.1.</t>
  </si>
  <si>
    <t>Комплекс процессных мероприятий «Предупреждение и ликвидация чрезвычайных ситуаций природного и техногенного характера, а также обеспечение безопасности людей на водных объектах в городе Когалыме», в том числе:</t>
  </si>
  <si>
    <t xml:space="preserve"> Мероприятие (результат) «Обеспечена безопасность населения на водных объектах города Когалыма»</t>
  </si>
  <si>
    <t xml:space="preserve"> Мероприятие (результат) «Обеспечено снижение рисков и смягчение последствий чрезвычайных ситуаций природного и техногенного характера на территории города Когалыма»</t>
  </si>
  <si>
    <t xml:space="preserve"> Мероприятие (результат) «Обеспечена бесперебойная и устойчивая работа муниципальной автоматизированной системы централизованного оповещения населения города Когалыма»</t>
  </si>
  <si>
    <t xml:space="preserve"> Мероприятие (результат) «Организованы и проведены мероприятия, направленные на приобретение материально-технической базы для курсов гражданской обороны»</t>
  </si>
  <si>
    <t xml:space="preserve"> Мероприятие (результат) «Организована противопожарная пропаганда и проведено обучение мерам пожарной безопасности населения города Когалыма»</t>
  </si>
  <si>
    <t>2.</t>
  </si>
  <si>
    <t xml:space="preserve"> 2.1.</t>
  </si>
  <si>
    <t>Комплекс процессных мероприятий «Обеспечение деятельности органов местного самоуправления города Когалыма» / Мероприятие (результат) «Обеспечена деятельность отдела по делам ГО и ЧС Администрации города Когалыма»</t>
  </si>
  <si>
    <t>2.2.</t>
  </si>
  <si>
    <t>Комплекс процессных мероприятий «Обеспечение деятельности муниципальных казенных учреждений города Когалыма» / Мероприятие (результат) «Обеспечена уставная деятельность МКУ «ЕДДС города Когалыма»</t>
  </si>
  <si>
    <t xml:space="preserve"> Мероприятие (результат) «Строительство пожарного депо в городе Когалыме (в том числе ПИР)»</t>
  </si>
  <si>
    <t>Мероприятие (результат) «Организовано хранение неснижаемого запаса резерва материальных ресурсов города Когалыма для предупреждения, ликвидации чрезвычайных ситуаций и в целях гражданской обороны»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</si>
</sst>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;[Red]\-#,##0.0\ "/>
    <numFmt numFmtId="165" formatCode="#,##0_ ;[Red]\-#,##0\ "/>
    <numFmt numFmtId="166" formatCode="#,##0.00_ ;[Red]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8" fillId="0" borderId="0" xfId="1" applyFont="1" applyProtection="1"/>
    <xf numFmtId="0" fontId="10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9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vertical="center" wrapText="1"/>
    </xf>
    <xf numFmtId="0" fontId="8" fillId="0" borderId="0" xfId="1" applyFont="1" applyFill="1" applyAlignment="1" applyProtection="1">
      <alignment vertical="center"/>
    </xf>
    <xf numFmtId="0" fontId="6" fillId="0" borderId="9" xfId="1" applyFont="1" applyFill="1" applyBorder="1" applyAlignment="1" applyProtection="1">
      <alignment horizontal="left" vertical="top" wrapText="1"/>
    </xf>
    <xf numFmtId="166" fontId="6" fillId="0" borderId="9" xfId="1" applyNumberFormat="1" applyFont="1" applyFill="1" applyBorder="1" applyAlignment="1" applyProtection="1">
      <alignment horizontal="center"/>
    </xf>
    <xf numFmtId="166" fontId="6" fillId="0" borderId="9" xfId="1" applyNumberFormat="1" applyFont="1" applyFill="1" applyBorder="1" applyAlignment="1" applyProtection="1">
      <alignment horizontal="center"/>
      <protection locked="0"/>
    </xf>
    <xf numFmtId="0" fontId="7" fillId="0" borderId="9" xfId="1" applyFont="1" applyFill="1" applyBorder="1" applyAlignment="1" applyProtection="1">
      <alignment horizontal="left" vertical="top" wrapText="1"/>
    </xf>
    <xf numFmtId="166" fontId="7" fillId="0" borderId="9" xfId="1" applyNumberFormat="1" applyFont="1" applyFill="1" applyBorder="1" applyAlignment="1" applyProtection="1">
      <alignment horizontal="center"/>
    </xf>
    <xf numFmtId="166" fontId="7" fillId="0" borderId="9" xfId="1" applyNumberFormat="1" applyFont="1" applyFill="1" applyBorder="1" applyAlignment="1" applyProtection="1">
      <alignment horizontal="center"/>
      <protection locked="0"/>
    </xf>
    <xf numFmtId="166" fontId="10" fillId="0" borderId="0" xfId="1" applyNumberFormat="1" applyFont="1" applyFill="1" applyAlignment="1" applyProtection="1">
      <alignment vertical="center"/>
    </xf>
    <xf numFmtId="0" fontId="8" fillId="0" borderId="0" xfId="1" applyFont="1" applyAlignment="1" applyProtection="1">
      <alignment vertical="top"/>
    </xf>
    <xf numFmtId="0" fontId="2" fillId="0" borderId="0" xfId="1" applyFont="1" applyAlignment="1" applyProtection="1">
      <alignment vertical="top"/>
    </xf>
    <xf numFmtId="166" fontId="2" fillId="0" borderId="0" xfId="1" applyNumberFormat="1" applyFont="1" applyProtection="1"/>
    <xf numFmtId="0" fontId="6" fillId="0" borderId="0" xfId="1" applyFont="1" applyProtection="1"/>
    <xf numFmtId="0" fontId="7" fillId="0" borderId="0" xfId="1" applyFont="1" applyProtection="1"/>
    <xf numFmtId="0" fontId="6" fillId="0" borderId="9" xfId="1" applyFont="1" applyFill="1" applyBorder="1" applyAlignment="1" applyProtection="1">
      <alignment horizontal="justify" vertical="center" wrapText="1"/>
    </xf>
    <xf numFmtId="166" fontId="6" fillId="0" borderId="0" xfId="1" applyNumberFormat="1" applyFont="1" applyFill="1" applyAlignment="1" applyProtection="1">
      <alignment vertical="center"/>
    </xf>
    <xf numFmtId="0" fontId="6" fillId="0" borderId="0" xfId="1" applyFont="1" applyFill="1" applyProtection="1"/>
    <xf numFmtId="0" fontId="7" fillId="0" borderId="9" xfId="1" applyFont="1" applyFill="1" applyBorder="1" applyAlignment="1" applyProtection="1">
      <alignment horizontal="justify" vertical="center" wrapText="1"/>
    </xf>
    <xf numFmtId="166" fontId="9" fillId="0" borderId="0" xfId="1" applyNumberFormat="1" applyFont="1" applyFill="1" applyAlignment="1" applyProtection="1">
      <alignment vertical="center"/>
    </xf>
    <xf numFmtId="0" fontId="7" fillId="0" borderId="0" xfId="1" applyFont="1" applyFill="1" applyProtection="1"/>
    <xf numFmtId="0" fontId="6" fillId="0" borderId="9" xfId="1" applyFont="1" applyFill="1" applyBorder="1" applyAlignment="1" applyProtection="1">
      <alignment horizontal="center" vertical="center" wrapText="1"/>
    </xf>
    <xf numFmtId="14" fontId="6" fillId="0" borderId="9" xfId="1" applyNumberFormat="1" applyFont="1" applyFill="1" applyBorder="1" applyAlignment="1" applyProtection="1">
      <alignment horizontal="center" vertical="center" wrapText="1"/>
    </xf>
    <xf numFmtId="165" fontId="7" fillId="0" borderId="9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6" fillId="0" borderId="9" xfId="1" applyFont="1" applyFill="1" applyBorder="1" applyAlignment="1" applyProtection="1">
      <alignment horizontal="left" vertical="center" wrapText="1"/>
    </xf>
    <xf numFmtId="166" fontId="6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vertical="center" wrapText="1"/>
    </xf>
    <xf numFmtId="0" fontId="7" fillId="0" borderId="9" xfId="1" applyFont="1" applyFill="1" applyBorder="1" applyAlignment="1" applyProtection="1">
      <alignment horizontal="left" vertical="center" wrapText="1"/>
    </xf>
    <xf numFmtId="166" fontId="7" fillId="0" borderId="9" xfId="1" applyNumberFormat="1" applyFont="1" applyFill="1" applyBorder="1" applyAlignment="1" applyProtection="1">
      <alignment horizontal="center" vertical="center"/>
    </xf>
    <xf numFmtId="166" fontId="7" fillId="0" borderId="9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Protection="1"/>
    <xf numFmtId="164" fontId="6" fillId="0" borderId="0" xfId="1" applyNumberFormat="1" applyFont="1" applyFill="1" applyAlignment="1" applyProtection="1">
      <alignment vertical="center" wrapText="1"/>
    </xf>
    <xf numFmtId="164" fontId="6" fillId="0" borderId="1" xfId="1" applyNumberFormat="1" applyFont="1" applyFill="1" applyBorder="1" applyAlignment="1" applyProtection="1">
      <alignment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/>
    </xf>
    <xf numFmtId="49" fontId="6" fillId="0" borderId="9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top" wrapText="1"/>
    </xf>
    <xf numFmtId="0" fontId="7" fillId="0" borderId="8" xfId="1" applyFont="1" applyFill="1" applyBorder="1" applyAlignment="1" applyProtection="1">
      <alignment horizontal="center" vertical="top" wrapText="1"/>
    </xf>
    <xf numFmtId="0" fontId="6" fillId="0" borderId="2" xfId="1" applyFont="1" applyFill="1" applyBorder="1" applyAlignment="1" applyProtection="1">
      <alignment horizontal="center"/>
    </xf>
    <xf numFmtId="0" fontId="6" fillId="0" borderId="8" xfId="1" applyFont="1" applyFill="1" applyBorder="1" applyAlignment="1" applyProtection="1">
      <alignment horizontal="center"/>
    </xf>
    <xf numFmtId="0" fontId="6" fillId="0" borderId="9" xfId="1" applyFont="1" applyFill="1" applyBorder="1" applyAlignment="1" applyProtection="1">
      <alignment horizontal="center"/>
    </xf>
    <xf numFmtId="0" fontId="7" fillId="0" borderId="10" xfId="1" applyFont="1" applyFill="1" applyBorder="1" applyAlignment="1" applyProtection="1">
      <alignment horizontal="left" vertical="center" wrapText="1"/>
    </xf>
    <xf numFmtId="0" fontId="7" fillId="0" borderId="11" xfId="1" applyFont="1" applyFill="1" applyBorder="1" applyAlignment="1" applyProtection="1">
      <alignment horizontal="left" vertical="center" wrapText="1"/>
    </xf>
    <xf numFmtId="0" fontId="7" fillId="0" borderId="12" xfId="1" applyFont="1" applyFill="1" applyBorder="1" applyAlignment="1" applyProtection="1">
      <alignment horizontal="left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wrapText="1"/>
    </xf>
    <xf numFmtId="0" fontId="6" fillId="0" borderId="5" xfId="1" applyFont="1" applyFill="1" applyBorder="1" applyAlignment="1" applyProtection="1">
      <alignment horizont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/>
    </xf>
    <xf numFmtId="164" fontId="6" fillId="0" borderId="3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center" vertical="center" wrapText="1"/>
    </xf>
    <xf numFmtId="164" fontId="6" fillId="0" borderId="6" xfId="1" applyNumberFormat="1" applyFont="1" applyFill="1" applyBorder="1" applyAlignment="1" applyProtection="1">
      <alignment horizontal="center" vertical="center" wrapText="1"/>
    </xf>
    <xf numFmtId="164" fontId="6" fillId="0" borderId="7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5" xfId="1" applyFont="1" applyFill="1" applyBorder="1" applyAlignment="1" applyProtection="1">
      <alignment horizontal="left" vertical="top" wrapText="1"/>
    </xf>
    <xf numFmtId="0" fontId="6" fillId="0" borderId="8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center" vertical="top" wrapText="1"/>
    </xf>
    <xf numFmtId="0" fontId="6" fillId="0" borderId="5" xfId="1" applyFont="1" applyFill="1" applyBorder="1" applyAlignment="1" applyProtection="1">
      <alignment horizontal="center" vertical="top" wrapText="1"/>
    </xf>
    <xf numFmtId="0" fontId="6" fillId="0" borderId="8" xfId="1" applyFont="1" applyFill="1" applyBorder="1" applyAlignment="1" applyProtection="1">
      <alignment horizontal="center" vertical="top" wrapText="1"/>
    </xf>
    <xf numFmtId="164" fontId="6" fillId="0" borderId="2" xfId="1" applyNumberFormat="1" applyFont="1" applyFill="1" applyBorder="1" applyAlignment="1" applyProtection="1">
      <alignment horizontal="center" vertical="center" wrapText="1"/>
    </xf>
    <xf numFmtId="164" fontId="6" fillId="0" borderId="5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3"/>
  <sheetViews>
    <sheetView tabSelected="1" zoomScale="80" zoomScaleNormal="80" workbookViewId="0">
      <pane xSplit="6" ySplit="7" topLeftCell="G10" activePane="bottomRight" state="frozen"/>
      <selection pane="topRight" activeCell="G1" sqref="G1"/>
      <selection pane="bottomLeft" activeCell="A8" sqref="A8"/>
      <selection pane="bottomRight" activeCell="E12" sqref="E12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18.5703125" style="22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3.14062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1.57031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3" width="11.5703125" style="1" customWidth="1"/>
    <col min="34" max="34" width="38.5703125" style="1" customWidth="1"/>
    <col min="35" max="35" width="13.42578125" style="1" bestFit="1" customWidth="1"/>
    <col min="36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ht="15.75" x14ac:dyDescent="0.25">
      <c r="A2" s="43"/>
      <c r="B2" s="43"/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35"/>
    </row>
    <row r="3" spans="1:35" ht="36.75" customHeight="1" x14ac:dyDescent="0.25">
      <c r="A3" s="43"/>
      <c r="B3" s="43"/>
      <c r="C3" s="72" t="s">
        <v>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45"/>
      <c r="U3" s="45"/>
      <c r="V3" s="45"/>
      <c r="W3" s="45"/>
      <c r="X3" s="45"/>
      <c r="Y3" s="45"/>
      <c r="Z3" s="45"/>
      <c r="AA3" s="45"/>
      <c r="AB3" s="45"/>
      <c r="AC3" s="45"/>
      <c r="AD3" s="46"/>
      <c r="AE3" s="46"/>
      <c r="AF3" s="46"/>
      <c r="AG3" s="46" t="s">
        <v>2</v>
      </c>
      <c r="AH3" s="46"/>
      <c r="AI3" s="35"/>
    </row>
    <row r="4" spans="1:35" s="8" customFormat="1" ht="15" customHeight="1" x14ac:dyDescent="0.25">
      <c r="A4" s="73" t="s">
        <v>3</v>
      </c>
      <c r="B4" s="76" t="s">
        <v>4</v>
      </c>
      <c r="C4" s="76" t="s">
        <v>5</v>
      </c>
      <c r="D4" s="79" t="s">
        <v>6</v>
      </c>
      <c r="E4" s="79" t="s">
        <v>6</v>
      </c>
      <c r="F4" s="79" t="s">
        <v>7</v>
      </c>
      <c r="G4" s="79" t="s">
        <v>8</v>
      </c>
      <c r="H4" s="67" t="s">
        <v>9</v>
      </c>
      <c r="I4" s="68"/>
      <c r="J4" s="67" t="s">
        <v>10</v>
      </c>
      <c r="K4" s="68"/>
      <c r="L4" s="67" t="s">
        <v>11</v>
      </c>
      <c r="M4" s="68"/>
      <c r="N4" s="67" t="s">
        <v>12</v>
      </c>
      <c r="O4" s="68"/>
      <c r="P4" s="67" t="s">
        <v>13</v>
      </c>
      <c r="Q4" s="68"/>
      <c r="R4" s="67" t="s">
        <v>14</v>
      </c>
      <c r="S4" s="68"/>
      <c r="T4" s="67" t="s">
        <v>15</v>
      </c>
      <c r="U4" s="68"/>
      <c r="V4" s="67" t="s">
        <v>16</v>
      </c>
      <c r="W4" s="68"/>
      <c r="X4" s="67" t="s">
        <v>17</v>
      </c>
      <c r="Y4" s="68"/>
      <c r="Z4" s="67" t="s">
        <v>18</v>
      </c>
      <c r="AA4" s="68"/>
      <c r="AB4" s="67" t="s">
        <v>19</v>
      </c>
      <c r="AC4" s="68"/>
      <c r="AD4" s="67" t="s">
        <v>20</v>
      </c>
      <c r="AE4" s="68"/>
      <c r="AF4" s="67" t="s">
        <v>21</v>
      </c>
      <c r="AG4" s="68"/>
      <c r="AH4" s="50" t="s">
        <v>22</v>
      </c>
      <c r="AI4" s="35"/>
    </row>
    <row r="5" spans="1:35" s="8" customFormat="1" ht="39" customHeight="1" x14ac:dyDescent="0.25">
      <c r="A5" s="74"/>
      <c r="B5" s="77"/>
      <c r="C5" s="77"/>
      <c r="D5" s="80"/>
      <c r="E5" s="80"/>
      <c r="F5" s="80"/>
      <c r="G5" s="80"/>
      <c r="H5" s="69"/>
      <c r="I5" s="70"/>
      <c r="J5" s="69"/>
      <c r="K5" s="70"/>
      <c r="L5" s="69"/>
      <c r="M5" s="70"/>
      <c r="N5" s="69"/>
      <c r="O5" s="70"/>
      <c r="P5" s="69"/>
      <c r="Q5" s="70"/>
      <c r="R5" s="69"/>
      <c r="S5" s="70"/>
      <c r="T5" s="69"/>
      <c r="U5" s="70"/>
      <c r="V5" s="69"/>
      <c r="W5" s="70"/>
      <c r="X5" s="69"/>
      <c r="Y5" s="70"/>
      <c r="Z5" s="69"/>
      <c r="AA5" s="70"/>
      <c r="AB5" s="69"/>
      <c r="AC5" s="70"/>
      <c r="AD5" s="69"/>
      <c r="AE5" s="70"/>
      <c r="AF5" s="69"/>
      <c r="AG5" s="70"/>
      <c r="AH5" s="65"/>
      <c r="AI5" s="35"/>
    </row>
    <row r="6" spans="1:35" s="8" customFormat="1" ht="64.5" customHeight="1" x14ac:dyDescent="0.25">
      <c r="A6" s="75"/>
      <c r="B6" s="78"/>
      <c r="C6" s="78"/>
      <c r="D6" s="32">
        <v>2026</v>
      </c>
      <c r="E6" s="33">
        <v>46081</v>
      </c>
      <c r="F6" s="33">
        <v>46081</v>
      </c>
      <c r="G6" s="33">
        <v>46081</v>
      </c>
      <c r="H6" s="47" t="s">
        <v>23</v>
      </c>
      <c r="I6" s="47" t="s">
        <v>24</v>
      </c>
      <c r="J6" s="47" t="s">
        <v>25</v>
      </c>
      <c r="K6" s="47" t="s">
        <v>26</v>
      </c>
      <c r="L6" s="47" t="s">
        <v>25</v>
      </c>
      <c r="M6" s="47" t="s">
        <v>26</v>
      </c>
      <c r="N6" s="47" t="s">
        <v>25</v>
      </c>
      <c r="O6" s="47" t="s">
        <v>26</v>
      </c>
      <c r="P6" s="47" t="s">
        <v>25</v>
      </c>
      <c r="Q6" s="47" t="s">
        <v>26</v>
      </c>
      <c r="R6" s="47" t="s">
        <v>25</v>
      </c>
      <c r="S6" s="47" t="s">
        <v>26</v>
      </c>
      <c r="T6" s="47" t="s">
        <v>25</v>
      </c>
      <c r="U6" s="47" t="s">
        <v>26</v>
      </c>
      <c r="V6" s="47" t="s">
        <v>25</v>
      </c>
      <c r="W6" s="47" t="s">
        <v>26</v>
      </c>
      <c r="X6" s="47" t="s">
        <v>25</v>
      </c>
      <c r="Y6" s="47" t="s">
        <v>26</v>
      </c>
      <c r="Z6" s="47" t="s">
        <v>25</v>
      </c>
      <c r="AA6" s="47" t="s">
        <v>26</v>
      </c>
      <c r="AB6" s="47" t="s">
        <v>25</v>
      </c>
      <c r="AC6" s="47" t="s">
        <v>26</v>
      </c>
      <c r="AD6" s="47" t="s">
        <v>25</v>
      </c>
      <c r="AE6" s="47" t="s">
        <v>26</v>
      </c>
      <c r="AF6" s="47" t="s">
        <v>25</v>
      </c>
      <c r="AG6" s="47" t="s">
        <v>26</v>
      </c>
      <c r="AH6" s="51"/>
      <c r="AI6" s="35"/>
    </row>
    <row r="7" spans="1:35" s="8" customFormat="1" ht="15.75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34">
        <v>19</v>
      </c>
      <c r="T7" s="34">
        <v>20</v>
      </c>
      <c r="U7" s="34">
        <v>21</v>
      </c>
      <c r="V7" s="34">
        <v>22</v>
      </c>
      <c r="W7" s="34">
        <v>23</v>
      </c>
      <c r="X7" s="34">
        <v>24</v>
      </c>
      <c r="Y7" s="34">
        <v>25</v>
      </c>
      <c r="Z7" s="34">
        <v>26</v>
      </c>
      <c r="AA7" s="34">
        <v>27</v>
      </c>
      <c r="AB7" s="34">
        <v>28</v>
      </c>
      <c r="AC7" s="34">
        <v>29</v>
      </c>
      <c r="AD7" s="34">
        <v>30</v>
      </c>
      <c r="AE7" s="34">
        <v>31</v>
      </c>
      <c r="AF7" s="34">
        <v>32</v>
      </c>
      <c r="AG7" s="34">
        <v>33</v>
      </c>
      <c r="AH7" s="34">
        <v>34</v>
      </c>
      <c r="AI7" s="35"/>
    </row>
    <row r="8" spans="1:35" s="9" customFormat="1" ht="31.5" customHeight="1" x14ac:dyDescent="0.25">
      <c r="A8" s="48"/>
      <c r="B8" s="50" t="s">
        <v>27</v>
      </c>
      <c r="C8" s="36" t="s">
        <v>28</v>
      </c>
      <c r="D8" s="37">
        <f>D9</f>
        <v>66037.183199999999</v>
      </c>
      <c r="E8" s="37">
        <f>E9</f>
        <v>13703.399029999999</v>
      </c>
      <c r="F8" s="37">
        <f>F9</f>
        <v>6784.3967300000004</v>
      </c>
      <c r="G8" s="37">
        <f>G9</f>
        <v>6784.3967300000004</v>
      </c>
      <c r="H8" s="37">
        <f>IFERROR(G8/D8*100,0)</f>
        <v>10.273601024823845</v>
      </c>
      <c r="I8" s="37">
        <f>IFERROR(G8/E8*100,0)</f>
        <v>49.508860649444294</v>
      </c>
      <c r="J8" s="38">
        <f>J9</f>
        <v>4601.2960000000003</v>
      </c>
      <c r="K8" s="38">
        <f t="shared" ref="K8:AG8" si="0">K9</f>
        <v>2210.8402500000002</v>
      </c>
      <c r="L8" s="38">
        <f t="shared" si="0"/>
        <v>9102.1030299999984</v>
      </c>
      <c r="M8" s="38">
        <f t="shared" si="0"/>
        <v>4573.5564800000002</v>
      </c>
      <c r="N8" s="38">
        <f t="shared" si="0"/>
        <v>4821.2990300000001</v>
      </c>
      <c r="O8" s="38">
        <f t="shared" si="0"/>
        <v>0</v>
      </c>
      <c r="P8" s="38">
        <f t="shared" si="0"/>
        <v>5330.8918300000005</v>
      </c>
      <c r="Q8" s="38">
        <f t="shared" si="0"/>
        <v>0</v>
      </c>
      <c r="R8" s="38">
        <f t="shared" si="0"/>
        <v>5042.3139700000002</v>
      </c>
      <c r="S8" s="38">
        <f t="shared" si="0"/>
        <v>0</v>
      </c>
      <c r="T8" s="38">
        <f t="shared" si="0"/>
        <v>4955.1001699999997</v>
      </c>
      <c r="U8" s="38">
        <f t="shared" si="0"/>
        <v>0</v>
      </c>
      <c r="V8" s="38">
        <f t="shared" si="0"/>
        <v>5397.9391699999996</v>
      </c>
      <c r="W8" s="38">
        <f t="shared" si="0"/>
        <v>0</v>
      </c>
      <c r="X8" s="38">
        <f t="shared" si="0"/>
        <v>5061.8151699999999</v>
      </c>
      <c r="Y8" s="38">
        <f t="shared" si="0"/>
        <v>0</v>
      </c>
      <c r="Z8" s="38">
        <f t="shared" si="0"/>
        <v>4601.8001699999995</v>
      </c>
      <c r="AA8" s="38">
        <f t="shared" si="0"/>
        <v>0</v>
      </c>
      <c r="AB8" s="38">
        <f t="shared" si="0"/>
        <v>4754.2551700000004</v>
      </c>
      <c r="AC8" s="38">
        <f t="shared" si="0"/>
        <v>0</v>
      </c>
      <c r="AD8" s="38">
        <f t="shared" si="0"/>
        <v>5384.5593699999999</v>
      </c>
      <c r="AE8" s="38">
        <f t="shared" si="0"/>
        <v>0</v>
      </c>
      <c r="AF8" s="38">
        <f t="shared" si="0"/>
        <v>6983.8101200000001</v>
      </c>
      <c r="AG8" s="38">
        <f t="shared" si="0"/>
        <v>0</v>
      </c>
      <c r="AH8" s="39"/>
      <c r="AI8" s="20">
        <f>E8-G8</f>
        <v>6919.0022999999983</v>
      </c>
    </row>
    <row r="9" spans="1:35" s="10" customFormat="1" ht="38.25" customHeight="1" x14ac:dyDescent="0.25">
      <c r="A9" s="66"/>
      <c r="B9" s="65"/>
      <c r="C9" s="40" t="s">
        <v>29</v>
      </c>
      <c r="D9" s="41">
        <f>SUM(J9,L9,N9,P9,R9,T9,V9,X9,Z9,AB9,AD9,AF9)</f>
        <v>66037.183199999999</v>
      </c>
      <c r="E9" s="41">
        <f>J9+L9</f>
        <v>13703.399029999999</v>
      </c>
      <c r="F9" s="41">
        <f>K9+M9+O9+Q9+S9+U9+W9+Y9+AA9+AC9</f>
        <v>6784.3967300000004</v>
      </c>
      <c r="G9" s="41">
        <f>K9+M9+O9+Q9+S9+W9+U9+Y9+AA9+AC9++AE9+AG9</f>
        <v>6784.3967300000004</v>
      </c>
      <c r="H9" s="41">
        <f>IFERROR(G9/D9*100,0)</f>
        <v>10.273601024823845</v>
      </c>
      <c r="I9" s="41">
        <f>IFERROR(G9/E9*100,0)</f>
        <v>49.508860649444294</v>
      </c>
      <c r="J9" s="41">
        <f t="shared" ref="J9:AG9" si="1">J12+J29+J31</f>
        <v>4601.2960000000003</v>
      </c>
      <c r="K9" s="41">
        <f>K12+K29+K31</f>
        <v>2210.8402500000002</v>
      </c>
      <c r="L9" s="41">
        <f t="shared" si="1"/>
        <v>9102.1030299999984</v>
      </c>
      <c r="M9" s="41">
        <f t="shared" si="1"/>
        <v>4573.5564800000002</v>
      </c>
      <c r="N9" s="41">
        <f t="shared" si="1"/>
        <v>4821.2990300000001</v>
      </c>
      <c r="O9" s="41">
        <f t="shared" si="1"/>
        <v>0</v>
      </c>
      <c r="P9" s="41">
        <f t="shared" si="1"/>
        <v>5330.8918300000005</v>
      </c>
      <c r="Q9" s="41">
        <f t="shared" si="1"/>
        <v>0</v>
      </c>
      <c r="R9" s="41">
        <f t="shared" si="1"/>
        <v>5042.3139700000002</v>
      </c>
      <c r="S9" s="41">
        <f t="shared" si="1"/>
        <v>0</v>
      </c>
      <c r="T9" s="41">
        <f t="shared" si="1"/>
        <v>4955.1001699999997</v>
      </c>
      <c r="U9" s="41">
        <f t="shared" si="1"/>
        <v>0</v>
      </c>
      <c r="V9" s="41">
        <f t="shared" si="1"/>
        <v>5397.9391699999996</v>
      </c>
      <c r="W9" s="41">
        <f t="shared" si="1"/>
        <v>0</v>
      </c>
      <c r="X9" s="41">
        <f t="shared" si="1"/>
        <v>5061.8151699999999</v>
      </c>
      <c r="Y9" s="41">
        <f t="shared" si="1"/>
        <v>0</v>
      </c>
      <c r="Z9" s="41">
        <f t="shared" si="1"/>
        <v>4601.8001699999995</v>
      </c>
      <c r="AA9" s="41">
        <f t="shared" si="1"/>
        <v>0</v>
      </c>
      <c r="AB9" s="41">
        <f t="shared" si="1"/>
        <v>4754.2551700000004</v>
      </c>
      <c r="AC9" s="41">
        <f t="shared" si="1"/>
        <v>0</v>
      </c>
      <c r="AD9" s="41">
        <f t="shared" si="1"/>
        <v>5384.5593699999999</v>
      </c>
      <c r="AE9" s="41">
        <f t="shared" si="1"/>
        <v>0</v>
      </c>
      <c r="AF9" s="41">
        <f t="shared" si="1"/>
        <v>6983.8101200000001</v>
      </c>
      <c r="AG9" s="41">
        <f t="shared" si="1"/>
        <v>0</v>
      </c>
      <c r="AH9" s="12"/>
      <c r="AI9" s="20">
        <f>E9-G9</f>
        <v>6919.0022999999983</v>
      </c>
    </row>
    <row r="10" spans="1:35" s="13" customFormat="1" ht="18.75" customHeight="1" x14ac:dyDescent="0.25">
      <c r="A10" s="11" t="s">
        <v>30</v>
      </c>
      <c r="B10" s="57" t="s">
        <v>31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9"/>
      <c r="AH10" s="12"/>
      <c r="AI10" s="20"/>
    </row>
    <row r="11" spans="1:35" s="9" customFormat="1" ht="88.5" customHeight="1" x14ac:dyDescent="0.25">
      <c r="A11" s="48" t="s">
        <v>32</v>
      </c>
      <c r="B11" s="50" t="s">
        <v>33</v>
      </c>
      <c r="C11" s="36" t="s">
        <v>28</v>
      </c>
      <c r="D11" s="37">
        <f>D12</f>
        <v>12120.483099999998</v>
      </c>
      <c r="E11" s="37">
        <f>E12</f>
        <v>4810.8360000000002</v>
      </c>
      <c r="F11" s="37">
        <f>F12</f>
        <v>609.03458000000001</v>
      </c>
      <c r="G11" s="37">
        <f>G12</f>
        <v>609.03458000000001</v>
      </c>
      <c r="H11" s="37">
        <f t="shared" ref="H11:H28" si="2">IFERROR(G11/D11*100,0)</f>
        <v>5.0248375000828158</v>
      </c>
      <c r="I11" s="37">
        <f t="shared" ref="I11:I28" si="3">IFERROR(G11/E11*100,0)</f>
        <v>12.659641276485001</v>
      </c>
      <c r="J11" s="38">
        <f t="shared" ref="J11:AG11" si="4">J12</f>
        <v>226.60399999999998</v>
      </c>
      <c r="K11" s="38">
        <f t="shared" si="4"/>
        <v>226.41758999999999</v>
      </c>
      <c r="L11" s="38">
        <f t="shared" si="4"/>
        <v>4584.232</v>
      </c>
      <c r="M11" s="38">
        <f t="shared" si="4"/>
        <v>382.61698999999999</v>
      </c>
      <c r="N11" s="38">
        <f t="shared" si="4"/>
        <v>384.23200000000003</v>
      </c>
      <c r="O11" s="38">
        <f t="shared" si="4"/>
        <v>0</v>
      </c>
      <c r="P11" s="38">
        <f t="shared" si="4"/>
        <v>430.69200000000001</v>
      </c>
      <c r="Q11" s="38">
        <f t="shared" si="4"/>
        <v>0</v>
      </c>
      <c r="R11" s="38">
        <f t="shared" si="4"/>
        <v>498.25314000000003</v>
      </c>
      <c r="S11" s="38">
        <f t="shared" si="4"/>
        <v>0</v>
      </c>
      <c r="T11" s="38">
        <f t="shared" si="4"/>
        <v>490.93314000000004</v>
      </c>
      <c r="U11" s="38">
        <f t="shared" si="4"/>
        <v>0</v>
      </c>
      <c r="V11" s="38">
        <f t="shared" si="4"/>
        <v>889.83314000000007</v>
      </c>
      <c r="W11" s="38">
        <f t="shared" si="4"/>
        <v>0</v>
      </c>
      <c r="X11" s="38">
        <f t="shared" si="4"/>
        <v>840.73314000000005</v>
      </c>
      <c r="Y11" s="38">
        <f t="shared" si="4"/>
        <v>0</v>
      </c>
      <c r="Z11" s="38">
        <f t="shared" si="4"/>
        <v>677.83314000000007</v>
      </c>
      <c r="AA11" s="38">
        <f t="shared" si="4"/>
        <v>0</v>
      </c>
      <c r="AB11" s="38">
        <f t="shared" si="4"/>
        <v>590.93313999999998</v>
      </c>
      <c r="AC11" s="38">
        <f t="shared" si="4"/>
        <v>0</v>
      </c>
      <c r="AD11" s="38">
        <f t="shared" si="4"/>
        <v>1204.4331399999999</v>
      </c>
      <c r="AE11" s="38">
        <f t="shared" si="4"/>
        <v>0</v>
      </c>
      <c r="AF11" s="38">
        <f t="shared" si="4"/>
        <v>1301.7711199999999</v>
      </c>
      <c r="AG11" s="38">
        <f t="shared" si="4"/>
        <v>0</v>
      </c>
      <c r="AH11" s="39"/>
      <c r="AI11" s="20">
        <f t="shared" ref="AI11:AI22" si="5">E11-G11</f>
        <v>4201.8014199999998</v>
      </c>
    </row>
    <row r="12" spans="1:35" s="9" customFormat="1" ht="105.75" customHeight="1" x14ac:dyDescent="0.25">
      <c r="A12" s="49"/>
      <c r="B12" s="51"/>
      <c r="C12" s="40" t="s">
        <v>29</v>
      </c>
      <c r="D12" s="41">
        <f>SUM(J12,L12,N12,P12,R12,T12,V12,X12,Z12,AB12,AD12,AF12)</f>
        <v>12120.483099999998</v>
      </c>
      <c r="E12" s="41">
        <f>J12+L12</f>
        <v>4810.8360000000002</v>
      </c>
      <c r="F12" s="41">
        <f>G12</f>
        <v>609.03458000000001</v>
      </c>
      <c r="G12" s="41">
        <f>SUM(K12,M12,O12,Q12,S12,U12,W12,Y12,AA12,AC12,AE12,AG12)</f>
        <v>609.03458000000001</v>
      </c>
      <c r="H12" s="41">
        <f>IFERROR(G12/D12*100,0)</f>
        <v>5.0248375000828158</v>
      </c>
      <c r="I12" s="41">
        <f>IFERROR(G12/E12*100,0)</f>
        <v>12.659641276485001</v>
      </c>
      <c r="J12" s="42">
        <f>J14+J16+J18+J20+J22+J24+J26</f>
        <v>226.60399999999998</v>
      </c>
      <c r="K12" s="42">
        <f t="shared" ref="K12:AG12" si="6">K14+K16+K18+K20+K22+K24+K26</f>
        <v>226.41758999999999</v>
      </c>
      <c r="L12" s="42">
        <f t="shared" si="6"/>
        <v>4584.232</v>
      </c>
      <c r="M12" s="42">
        <f t="shared" si="6"/>
        <v>382.61698999999999</v>
      </c>
      <c r="N12" s="42">
        <f t="shared" si="6"/>
        <v>384.23200000000003</v>
      </c>
      <c r="O12" s="42">
        <f t="shared" si="6"/>
        <v>0</v>
      </c>
      <c r="P12" s="42">
        <f t="shared" si="6"/>
        <v>430.69200000000001</v>
      </c>
      <c r="Q12" s="42">
        <f t="shared" si="6"/>
        <v>0</v>
      </c>
      <c r="R12" s="42">
        <f t="shared" si="6"/>
        <v>498.25314000000003</v>
      </c>
      <c r="S12" s="42">
        <f t="shared" si="6"/>
        <v>0</v>
      </c>
      <c r="T12" s="42">
        <f t="shared" si="6"/>
        <v>490.93314000000004</v>
      </c>
      <c r="U12" s="42">
        <f t="shared" si="6"/>
        <v>0</v>
      </c>
      <c r="V12" s="42">
        <f t="shared" si="6"/>
        <v>889.83314000000007</v>
      </c>
      <c r="W12" s="42">
        <f t="shared" si="6"/>
        <v>0</v>
      </c>
      <c r="X12" s="42">
        <f t="shared" si="6"/>
        <v>840.73314000000005</v>
      </c>
      <c r="Y12" s="42">
        <f t="shared" si="6"/>
        <v>0</v>
      </c>
      <c r="Z12" s="42">
        <f t="shared" si="6"/>
        <v>677.83314000000007</v>
      </c>
      <c r="AA12" s="42">
        <f t="shared" si="6"/>
        <v>0</v>
      </c>
      <c r="AB12" s="42">
        <f t="shared" si="6"/>
        <v>590.93313999999998</v>
      </c>
      <c r="AC12" s="42">
        <f t="shared" si="6"/>
        <v>0</v>
      </c>
      <c r="AD12" s="42">
        <f t="shared" si="6"/>
        <v>1204.4331399999999</v>
      </c>
      <c r="AE12" s="42">
        <f t="shared" si="6"/>
        <v>0</v>
      </c>
      <c r="AF12" s="42">
        <f t="shared" si="6"/>
        <v>1301.7711199999999</v>
      </c>
      <c r="AG12" s="42">
        <f t="shared" si="6"/>
        <v>0</v>
      </c>
      <c r="AH12" s="39"/>
      <c r="AI12" s="20">
        <f t="shared" si="5"/>
        <v>4201.8014199999998</v>
      </c>
    </row>
    <row r="13" spans="1:35" s="24" customFormat="1" ht="35.25" customHeight="1" x14ac:dyDescent="0.25">
      <c r="A13" s="54"/>
      <c r="B13" s="60" t="s">
        <v>34</v>
      </c>
      <c r="C13" s="14" t="s">
        <v>28</v>
      </c>
      <c r="D13" s="15">
        <f>D14</f>
        <v>801.6</v>
      </c>
      <c r="E13" s="15">
        <f t="shared" ref="E13:G21" si="7">E14</f>
        <v>0</v>
      </c>
      <c r="F13" s="15">
        <f>F14</f>
        <v>0</v>
      </c>
      <c r="G13" s="15">
        <f>G14</f>
        <v>0</v>
      </c>
      <c r="H13" s="15">
        <f t="shared" si="2"/>
        <v>0</v>
      </c>
      <c r="I13" s="15">
        <f t="shared" si="3"/>
        <v>0</v>
      </c>
      <c r="J13" s="16">
        <f>J14</f>
        <v>0</v>
      </c>
      <c r="K13" s="16">
        <f t="shared" ref="K13:AG21" si="8">K14</f>
        <v>0</v>
      </c>
      <c r="L13" s="16">
        <f t="shared" si="8"/>
        <v>0</v>
      </c>
      <c r="M13" s="16">
        <f t="shared" si="8"/>
        <v>0</v>
      </c>
      <c r="N13" s="16">
        <f t="shared" si="8"/>
        <v>0</v>
      </c>
      <c r="O13" s="16">
        <f t="shared" si="8"/>
        <v>0</v>
      </c>
      <c r="P13" s="16">
        <f t="shared" si="8"/>
        <v>0</v>
      </c>
      <c r="Q13" s="16">
        <f t="shared" si="8"/>
        <v>0</v>
      </c>
      <c r="R13" s="16">
        <f t="shared" si="8"/>
        <v>1.9</v>
      </c>
      <c r="S13" s="16">
        <f t="shared" si="8"/>
        <v>0</v>
      </c>
      <c r="T13" s="16">
        <f t="shared" si="8"/>
        <v>1.9</v>
      </c>
      <c r="U13" s="16">
        <f t="shared" si="8"/>
        <v>0</v>
      </c>
      <c r="V13" s="16">
        <f t="shared" si="8"/>
        <v>197.9</v>
      </c>
      <c r="W13" s="16">
        <f t="shared" si="8"/>
        <v>0</v>
      </c>
      <c r="X13" s="16">
        <f t="shared" si="8"/>
        <v>351.7</v>
      </c>
      <c r="Y13" s="16">
        <f t="shared" si="8"/>
        <v>0</v>
      </c>
      <c r="Z13" s="16">
        <f t="shared" si="8"/>
        <v>188.8</v>
      </c>
      <c r="AA13" s="16">
        <f t="shared" si="8"/>
        <v>0</v>
      </c>
      <c r="AB13" s="16">
        <f t="shared" si="8"/>
        <v>1.9</v>
      </c>
      <c r="AC13" s="16">
        <f t="shared" si="8"/>
        <v>0</v>
      </c>
      <c r="AD13" s="16">
        <f t="shared" si="8"/>
        <v>1.9</v>
      </c>
      <c r="AE13" s="16">
        <f t="shared" si="8"/>
        <v>0</v>
      </c>
      <c r="AF13" s="16">
        <f t="shared" si="8"/>
        <v>55.6</v>
      </c>
      <c r="AG13" s="16">
        <f t="shared" si="8"/>
        <v>0</v>
      </c>
      <c r="AH13" s="29"/>
      <c r="AI13" s="30">
        <f t="shared" si="5"/>
        <v>0</v>
      </c>
    </row>
    <row r="14" spans="1:35" s="25" customFormat="1" ht="42" customHeight="1" x14ac:dyDescent="0.25">
      <c r="A14" s="55"/>
      <c r="B14" s="61"/>
      <c r="C14" s="17" t="s">
        <v>29</v>
      </c>
      <c r="D14" s="18">
        <f>SUM(J14,L14,N14,P14,R14,T14,V14,X14,Z14,AB14,AD14,AF14)</f>
        <v>801.6</v>
      </c>
      <c r="E14" s="18">
        <f>J14+L14</f>
        <v>0</v>
      </c>
      <c r="F14" s="18">
        <f>G14</f>
        <v>0</v>
      </c>
      <c r="G14" s="18">
        <f>SUM(K14,M14,O14,Q14,S14,U14,W14,Y14,AA14,AC14,AE14,AG14)</f>
        <v>0</v>
      </c>
      <c r="H14" s="18">
        <f t="shared" si="2"/>
        <v>0</v>
      </c>
      <c r="I14" s="18">
        <f t="shared" si="3"/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1.9</v>
      </c>
      <c r="S14" s="19">
        <v>0</v>
      </c>
      <c r="T14" s="19">
        <v>1.9</v>
      </c>
      <c r="U14" s="19">
        <v>0</v>
      </c>
      <c r="V14" s="19">
        <v>197.9</v>
      </c>
      <c r="W14" s="19">
        <v>0</v>
      </c>
      <c r="X14" s="19">
        <v>351.7</v>
      </c>
      <c r="Y14" s="19">
        <v>0</v>
      </c>
      <c r="Z14" s="19">
        <v>188.8</v>
      </c>
      <c r="AA14" s="19">
        <v>0</v>
      </c>
      <c r="AB14" s="19">
        <v>1.9</v>
      </c>
      <c r="AC14" s="19">
        <v>0</v>
      </c>
      <c r="AD14" s="19">
        <v>1.9</v>
      </c>
      <c r="AE14" s="19">
        <v>0</v>
      </c>
      <c r="AF14" s="19">
        <v>55.6</v>
      </c>
      <c r="AG14" s="19">
        <v>0</v>
      </c>
      <c r="AH14" s="29"/>
      <c r="AI14" s="30">
        <f t="shared" si="5"/>
        <v>0</v>
      </c>
    </row>
    <row r="15" spans="1:35" s="24" customFormat="1" ht="35.25" customHeight="1" x14ac:dyDescent="0.25">
      <c r="A15" s="62"/>
      <c r="B15" s="60" t="s">
        <v>35</v>
      </c>
      <c r="C15" s="14" t="s">
        <v>28</v>
      </c>
      <c r="D15" s="15">
        <f>D16</f>
        <v>109.78309999999998</v>
      </c>
      <c r="E15" s="15">
        <f t="shared" si="7"/>
        <v>1.2999999999999998</v>
      </c>
      <c r="F15" s="15">
        <f t="shared" si="7"/>
        <v>0.98658000000000001</v>
      </c>
      <c r="G15" s="15">
        <f t="shared" si="7"/>
        <v>0.98658000000000001</v>
      </c>
      <c r="H15" s="15">
        <f t="shared" si="2"/>
        <v>0.89866290895411072</v>
      </c>
      <c r="I15" s="15">
        <f t="shared" si="3"/>
        <v>75.890769230769237</v>
      </c>
      <c r="J15" s="16">
        <f>J16</f>
        <v>0.7</v>
      </c>
      <c r="K15" s="16">
        <f t="shared" si="8"/>
        <v>0.51358999999999999</v>
      </c>
      <c r="L15" s="16">
        <f t="shared" si="8"/>
        <v>0.6</v>
      </c>
      <c r="M15" s="16">
        <f t="shared" si="8"/>
        <v>0.47299000000000002</v>
      </c>
      <c r="N15" s="16">
        <f t="shared" si="8"/>
        <v>0.6</v>
      </c>
      <c r="O15" s="16">
        <f t="shared" si="8"/>
        <v>0</v>
      </c>
      <c r="P15" s="16">
        <f t="shared" si="8"/>
        <v>0.7</v>
      </c>
      <c r="Q15" s="16">
        <f t="shared" si="8"/>
        <v>0</v>
      </c>
      <c r="R15" s="16">
        <f t="shared" si="8"/>
        <v>0.6</v>
      </c>
      <c r="S15" s="16">
        <f t="shared" si="8"/>
        <v>0</v>
      </c>
      <c r="T15" s="16">
        <f t="shared" si="8"/>
        <v>0.6</v>
      </c>
      <c r="U15" s="16">
        <f t="shared" si="8"/>
        <v>0</v>
      </c>
      <c r="V15" s="16">
        <f t="shared" si="8"/>
        <v>103.5</v>
      </c>
      <c r="W15" s="16">
        <f t="shared" si="8"/>
        <v>0</v>
      </c>
      <c r="X15" s="16">
        <f t="shared" si="8"/>
        <v>0.6</v>
      </c>
      <c r="Y15" s="16">
        <f t="shared" si="8"/>
        <v>0</v>
      </c>
      <c r="Z15" s="16">
        <f t="shared" si="8"/>
        <v>0.6</v>
      </c>
      <c r="AA15" s="16">
        <f t="shared" si="8"/>
        <v>0</v>
      </c>
      <c r="AB15" s="16">
        <f t="shared" si="8"/>
        <v>0.6</v>
      </c>
      <c r="AC15" s="16">
        <f t="shared" si="8"/>
        <v>0</v>
      </c>
      <c r="AD15" s="16">
        <f>AD16</f>
        <v>0.6</v>
      </c>
      <c r="AE15" s="16">
        <v>0</v>
      </c>
      <c r="AF15" s="16">
        <f t="shared" si="8"/>
        <v>8.3099999999999993E-2</v>
      </c>
      <c r="AG15" s="16">
        <f t="shared" si="8"/>
        <v>0</v>
      </c>
      <c r="AH15" s="29"/>
      <c r="AI15" s="30">
        <f t="shared" si="5"/>
        <v>0.31341999999999981</v>
      </c>
    </row>
    <row r="16" spans="1:35" s="25" customFormat="1" ht="42" customHeight="1" x14ac:dyDescent="0.25">
      <c r="A16" s="63"/>
      <c r="B16" s="64"/>
      <c r="C16" s="17" t="s">
        <v>29</v>
      </c>
      <c r="D16" s="18">
        <f>SUM(J16,L16,N16,P16,R16,T16,V16,X16,Z16,AB16,AD16,AF16)</f>
        <v>109.78309999999998</v>
      </c>
      <c r="E16" s="18">
        <f>J16+L16</f>
        <v>1.2999999999999998</v>
      </c>
      <c r="F16" s="18">
        <f>G16</f>
        <v>0.98658000000000001</v>
      </c>
      <c r="G16" s="18">
        <f>SUM(K16,M16,O16,Q16,S16,U16,W16,Y16,AA16,AC16,AE16,AG16)</f>
        <v>0.98658000000000001</v>
      </c>
      <c r="H16" s="18">
        <f t="shared" si="2"/>
        <v>0.89866290895411072</v>
      </c>
      <c r="I16" s="18">
        <f t="shared" si="3"/>
        <v>75.890769230769237</v>
      </c>
      <c r="J16" s="19">
        <v>0.7</v>
      </c>
      <c r="K16" s="19">
        <f>513.59/1000</f>
        <v>0.51358999999999999</v>
      </c>
      <c r="L16" s="19">
        <v>0.6</v>
      </c>
      <c r="M16" s="19">
        <f>472.99/1000</f>
        <v>0.47299000000000002</v>
      </c>
      <c r="N16" s="19">
        <v>0.6</v>
      </c>
      <c r="O16" s="19">
        <v>0</v>
      </c>
      <c r="P16" s="19">
        <v>0.7</v>
      </c>
      <c r="Q16" s="19">
        <v>0</v>
      </c>
      <c r="R16" s="19">
        <v>0.6</v>
      </c>
      <c r="S16" s="19">
        <v>0</v>
      </c>
      <c r="T16" s="19">
        <v>0.6</v>
      </c>
      <c r="U16" s="19">
        <v>0</v>
      </c>
      <c r="V16" s="19">
        <v>103.5</v>
      </c>
      <c r="W16" s="19">
        <v>0</v>
      </c>
      <c r="X16" s="19">
        <v>0.6</v>
      </c>
      <c r="Y16" s="19">
        <v>0</v>
      </c>
      <c r="Z16" s="19">
        <v>0.6</v>
      </c>
      <c r="AA16" s="19">
        <v>0</v>
      </c>
      <c r="AB16" s="19">
        <v>0.6</v>
      </c>
      <c r="AC16" s="19">
        <v>0</v>
      </c>
      <c r="AD16" s="19">
        <v>0.6</v>
      </c>
      <c r="AE16" s="19">
        <v>0</v>
      </c>
      <c r="AF16" s="19">
        <v>8.3099999999999993E-2</v>
      </c>
      <c r="AG16" s="19">
        <v>0</v>
      </c>
      <c r="AH16" s="29"/>
      <c r="AI16" s="30">
        <f t="shared" si="5"/>
        <v>0.31341999999999981</v>
      </c>
    </row>
    <row r="17" spans="1:35" s="24" customFormat="1" ht="42.75" customHeight="1" x14ac:dyDescent="0.25">
      <c r="A17" s="54"/>
      <c r="B17" s="60" t="s">
        <v>36</v>
      </c>
      <c r="C17" s="14" t="s">
        <v>28</v>
      </c>
      <c r="D17" s="15">
        <f>D18</f>
        <v>6043</v>
      </c>
      <c r="E17" s="15">
        <f t="shared" si="7"/>
        <v>609.53600000000006</v>
      </c>
      <c r="F17" s="15">
        <f t="shared" si="7"/>
        <v>608.048</v>
      </c>
      <c r="G17" s="15">
        <f t="shared" si="7"/>
        <v>608.048</v>
      </c>
      <c r="H17" s="15">
        <f t="shared" si="2"/>
        <v>10.062022174416681</v>
      </c>
      <c r="I17" s="15">
        <f t="shared" si="3"/>
        <v>99.75587988240234</v>
      </c>
      <c r="J17" s="16">
        <f>J18</f>
        <v>225.904</v>
      </c>
      <c r="K17" s="16">
        <f t="shared" si="8"/>
        <v>225.904</v>
      </c>
      <c r="L17" s="16">
        <f t="shared" si="8"/>
        <v>383.63200000000001</v>
      </c>
      <c r="M17" s="16">
        <f t="shared" si="8"/>
        <v>382.14400000000001</v>
      </c>
      <c r="N17" s="16">
        <f t="shared" si="8"/>
        <v>383.63200000000001</v>
      </c>
      <c r="O17" s="16">
        <f t="shared" si="8"/>
        <v>0</v>
      </c>
      <c r="P17" s="16">
        <f t="shared" si="8"/>
        <v>383.63200000000001</v>
      </c>
      <c r="Q17" s="16">
        <f t="shared" si="8"/>
        <v>0</v>
      </c>
      <c r="R17" s="16">
        <f t="shared" si="8"/>
        <v>438.89314000000002</v>
      </c>
      <c r="S17" s="16">
        <f t="shared" si="8"/>
        <v>0</v>
      </c>
      <c r="T17" s="16">
        <f t="shared" si="8"/>
        <v>431.57314000000002</v>
      </c>
      <c r="U17" s="16">
        <f t="shared" si="8"/>
        <v>0</v>
      </c>
      <c r="V17" s="16">
        <f t="shared" si="8"/>
        <v>431.57314000000002</v>
      </c>
      <c r="W17" s="16">
        <f t="shared" si="8"/>
        <v>0</v>
      </c>
      <c r="X17" s="16">
        <f t="shared" si="8"/>
        <v>431.57314000000002</v>
      </c>
      <c r="Y17" s="16">
        <f t="shared" si="8"/>
        <v>0</v>
      </c>
      <c r="Z17" s="16">
        <f>Z18</f>
        <v>431.57314000000002</v>
      </c>
      <c r="AA17" s="16">
        <f t="shared" si="8"/>
        <v>0</v>
      </c>
      <c r="AB17" s="16">
        <f t="shared" si="8"/>
        <v>431.57314000000002</v>
      </c>
      <c r="AC17" s="16">
        <f t="shared" si="8"/>
        <v>0</v>
      </c>
      <c r="AD17" s="16">
        <f t="shared" si="8"/>
        <v>1145.07314</v>
      </c>
      <c r="AE17" s="16">
        <f t="shared" si="8"/>
        <v>0</v>
      </c>
      <c r="AF17" s="16">
        <f t="shared" si="8"/>
        <v>924.36802</v>
      </c>
      <c r="AG17" s="16">
        <f t="shared" si="8"/>
        <v>0</v>
      </c>
      <c r="AH17" s="29"/>
      <c r="AI17" s="30">
        <f t="shared" si="5"/>
        <v>1.4880000000000564</v>
      </c>
    </row>
    <row r="18" spans="1:35" s="25" customFormat="1" ht="45.75" customHeight="1" x14ac:dyDescent="0.25">
      <c r="A18" s="55"/>
      <c r="B18" s="61"/>
      <c r="C18" s="17" t="s">
        <v>29</v>
      </c>
      <c r="D18" s="18">
        <f>SUM(J18,L18,N18,P18,R18,T18,V18,X18,Z18,AB18,AD18,AF18)</f>
        <v>6043</v>
      </c>
      <c r="E18" s="18">
        <f>J18+L18</f>
        <v>609.53600000000006</v>
      </c>
      <c r="F18" s="18">
        <f>G18</f>
        <v>608.048</v>
      </c>
      <c r="G18" s="18">
        <f>SUM(K18,M18,O18,Q18,S18,U18,W18,Y18,AA18,AC18,AE18,AG18)</f>
        <v>608.048</v>
      </c>
      <c r="H18" s="18">
        <f t="shared" si="2"/>
        <v>10.062022174416681</v>
      </c>
      <c r="I18" s="18">
        <f t="shared" si="3"/>
        <v>99.75587988240234</v>
      </c>
      <c r="J18" s="19">
        <v>225.904</v>
      </c>
      <c r="K18" s="19">
        <f>225904/1000</f>
        <v>225.904</v>
      </c>
      <c r="L18" s="19">
        <v>383.63200000000001</v>
      </c>
      <c r="M18" s="19">
        <f>382144/1000</f>
        <v>382.14400000000001</v>
      </c>
      <c r="N18" s="19">
        <v>383.63200000000001</v>
      </c>
      <c r="O18" s="19">
        <v>0</v>
      </c>
      <c r="P18" s="19">
        <v>383.63200000000001</v>
      </c>
      <c r="Q18" s="19">
        <v>0</v>
      </c>
      <c r="R18" s="19">
        <f>438893.14/1000</f>
        <v>438.89314000000002</v>
      </c>
      <c r="S18" s="19">
        <v>0</v>
      </c>
      <c r="T18" s="19">
        <f>431573.14/1000</f>
        <v>431.57314000000002</v>
      </c>
      <c r="U18" s="19">
        <v>0</v>
      </c>
      <c r="V18" s="19">
        <f>431573.14/1000</f>
        <v>431.57314000000002</v>
      </c>
      <c r="W18" s="19">
        <v>0</v>
      </c>
      <c r="X18" s="19">
        <f>431573.14/1000</f>
        <v>431.57314000000002</v>
      </c>
      <c r="Y18" s="19">
        <v>0</v>
      </c>
      <c r="Z18" s="19">
        <f>431573.14/1000</f>
        <v>431.57314000000002</v>
      </c>
      <c r="AA18" s="19">
        <v>0</v>
      </c>
      <c r="AB18" s="19">
        <f>431573.14/1000</f>
        <v>431.57314000000002</v>
      </c>
      <c r="AC18" s="19">
        <v>0</v>
      </c>
      <c r="AD18" s="19">
        <f>1145073.14/1000</f>
        <v>1145.07314</v>
      </c>
      <c r="AE18" s="19">
        <v>0</v>
      </c>
      <c r="AF18" s="19">
        <f>924368.02/1000</f>
        <v>924.36802</v>
      </c>
      <c r="AG18" s="19">
        <v>0</v>
      </c>
      <c r="AH18" s="29"/>
      <c r="AI18" s="30">
        <f t="shared" si="5"/>
        <v>1.4880000000000564</v>
      </c>
    </row>
    <row r="19" spans="1:35" s="24" customFormat="1" ht="45.75" customHeight="1" x14ac:dyDescent="0.25">
      <c r="A19" s="54"/>
      <c r="B19" s="52" t="s">
        <v>37</v>
      </c>
      <c r="C19" s="14" t="s">
        <v>28</v>
      </c>
      <c r="D19" s="15">
        <f>D20</f>
        <v>100</v>
      </c>
      <c r="E19" s="15">
        <f t="shared" si="7"/>
        <v>0</v>
      </c>
      <c r="F19" s="15">
        <f t="shared" si="7"/>
        <v>0</v>
      </c>
      <c r="G19" s="15">
        <f t="shared" si="7"/>
        <v>0</v>
      </c>
      <c r="H19" s="15">
        <f t="shared" si="2"/>
        <v>0</v>
      </c>
      <c r="I19" s="15">
        <f t="shared" si="3"/>
        <v>0</v>
      </c>
      <c r="J19" s="16">
        <f>J20</f>
        <v>0</v>
      </c>
      <c r="K19" s="16">
        <f t="shared" si="8"/>
        <v>0</v>
      </c>
      <c r="L19" s="16">
        <f>L20</f>
        <v>0</v>
      </c>
      <c r="M19" s="16">
        <f t="shared" si="8"/>
        <v>0</v>
      </c>
      <c r="N19" s="16">
        <f t="shared" si="8"/>
        <v>0</v>
      </c>
      <c r="O19" s="16">
        <f t="shared" si="8"/>
        <v>0</v>
      </c>
      <c r="P19" s="16">
        <f t="shared" si="8"/>
        <v>0</v>
      </c>
      <c r="Q19" s="16">
        <f t="shared" si="8"/>
        <v>0</v>
      </c>
      <c r="R19" s="16">
        <f t="shared" si="8"/>
        <v>0</v>
      </c>
      <c r="S19" s="16">
        <f t="shared" si="8"/>
        <v>0</v>
      </c>
      <c r="T19" s="16">
        <f t="shared" si="8"/>
        <v>0</v>
      </c>
      <c r="U19" s="16">
        <f t="shared" si="8"/>
        <v>0</v>
      </c>
      <c r="V19" s="16">
        <f t="shared" si="8"/>
        <v>0</v>
      </c>
      <c r="W19" s="16">
        <f t="shared" si="8"/>
        <v>0</v>
      </c>
      <c r="X19" s="16">
        <f t="shared" si="8"/>
        <v>0</v>
      </c>
      <c r="Y19" s="16">
        <f t="shared" si="8"/>
        <v>0</v>
      </c>
      <c r="Z19" s="16">
        <f t="shared" si="8"/>
        <v>0</v>
      </c>
      <c r="AA19" s="16">
        <f t="shared" si="8"/>
        <v>0</v>
      </c>
      <c r="AB19" s="16">
        <f t="shared" si="8"/>
        <v>100</v>
      </c>
      <c r="AC19" s="16">
        <f t="shared" si="8"/>
        <v>0</v>
      </c>
      <c r="AD19" s="16">
        <f t="shared" si="8"/>
        <v>0</v>
      </c>
      <c r="AE19" s="16">
        <f t="shared" si="8"/>
        <v>0</v>
      </c>
      <c r="AF19" s="16">
        <f>AF20</f>
        <v>0</v>
      </c>
      <c r="AG19" s="16">
        <f t="shared" si="8"/>
        <v>0</v>
      </c>
      <c r="AH19" s="29"/>
      <c r="AI19" s="30">
        <f t="shared" si="5"/>
        <v>0</v>
      </c>
    </row>
    <row r="20" spans="1:35" s="25" customFormat="1" ht="44.25" customHeight="1" x14ac:dyDescent="0.25">
      <c r="A20" s="55"/>
      <c r="B20" s="53"/>
      <c r="C20" s="17" t="s">
        <v>29</v>
      </c>
      <c r="D20" s="18">
        <f>SUM(J20,L20,N20,P20,R20,T20,V20,X20,Z20,AB20,AD20,AF20)</f>
        <v>100</v>
      </c>
      <c r="E20" s="18">
        <f>J20+L20</f>
        <v>0</v>
      </c>
      <c r="F20" s="18">
        <f>G20</f>
        <v>0</v>
      </c>
      <c r="G20" s="18">
        <f>SUM(K20,M20,O20,Q20,S20,U20,W20,Y20,AA20,AC20,AE20,AG20)</f>
        <v>0</v>
      </c>
      <c r="H20" s="18">
        <f t="shared" si="2"/>
        <v>0</v>
      </c>
      <c r="I20" s="18">
        <f t="shared" si="3"/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100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29"/>
      <c r="AI20" s="30">
        <f t="shared" si="5"/>
        <v>0</v>
      </c>
    </row>
    <row r="21" spans="1:35" s="24" customFormat="1" ht="35.25" customHeight="1" x14ac:dyDescent="0.25">
      <c r="A21" s="56"/>
      <c r="B21" s="52" t="s">
        <v>38</v>
      </c>
      <c r="C21" s="14" t="s">
        <v>28</v>
      </c>
      <c r="D21" s="15">
        <f>D22</f>
        <v>309.7</v>
      </c>
      <c r="E21" s="15">
        <f t="shared" si="7"/>
        <v>0</v>
      </c>
      <c r="F21" s="15">
        <f t="shared" si="7"/>
        <v>0</v>
      </c>
      <c r="G21" s="15">
        <f t="shared" si="7"/>
        <v>0</v>
      </c>
      <c r="H21" s="15">
        <f t="shared" si="2"/>
        <v>0</v>
      </c>
      <c r="I21" s="15">
        <f t="shared" si="3"/>
        <v>0</v>
      </c>
      <c r="J21" s="16">
        <f>J22</f>
        <v>0</v>
      </c>
      <c r="K21" s="16">
        <f t="shared" si="8"/>
        <v>0</v>
      </c>
      <c r="L21" s="16">
        <f>L22</f>
        <v>0</v>
      </c>
      <c r="M21" s="16">
        <f t="shared" si="8"/>
        <v>0</v>
      </c>
      <c r="N21" s="16">
        <f t="shared" si="8"/>
        <v>0</v>
      </c>
      <c r="O21" s="16">
        <f t="shared" si="8"/>
        <v>0</v>
      </c>
      <c r="P21" s="16">
        <f t="shared" si="8"/>
        <v>0</v>
      </c>
      <c r="Q21" s="16">
        <f t="shared" si="8"/>
        <v>0</v>
      </c>
      <c r="R21" s="16">
        <f t="shared" si="8"/>
        <v>10.5</v>
      </c>
      <c r="S21" s="16">
        <f t="shared" si="8"/>
        <v>0</v>
      </c>
      <c r="T21" s="16">
        <f t="shared" si="8"/>
        <v>10.5</v>
      </c>
      <c r="U21" s="16">
        <f t="shared" si="8"/>
        <v>0</v>
      </c>
      <c r="V21" s="16">
        <f t="shared" si="8"/>
        <v>110.5</v>
      </c>
      <c r="W21" s="16">
        <f t="shared" si="8"/>
        <v>0</v>
      </c>
      <c r="X21" s="16">
        <f t="shared" si="8"/>
        <v>10.5</v>
      </c>
      <c r="Y21" s="16">
        <f t="shared" si="8"/>
        <v>0</v>
      </c>
      <c r="Z21" s="16">
        <f t="shared" si="8"/>
        <v>10.5</v>
      </c>
      <c r="AA21" s="16">
        <f t="shared" si="8"/>
        <v>0</v>
      </c>
      <c r="AB21" s="16">
        <f t="shared" si="8"/>
        <v>10.5</v>
      </c>
      <c r="AC21" s="16">
        <f t="shared" si="8"/>
        <v>0</v>
      </c>
      <c r="AD21" s="16">
        <f t="shared" si="8"/>
        <v>10.5</v>
      </c>
      <c r="AE21" s="16">
        <f t="shared" si="8"/>
        <v>0</v>
      </c>
      <c r="AF21" s="16">
        <f t="shared" si="8"/>
        <v>136.19999999999999</v>
      </c>
      <c r="AG21" s="16">
        <f t="shared" si="8"/>
        <v>0</v>
      </c>
      <c r="AH21" s="29"/>
      <c r="AI21" s="30">
        <f t="shared" si="5"/>
        <v>0</v>
      </c>
    </row>
    <row r="22" spans="1:35" s="25" customFormat="1" ht="42" customHeight="1" x14ac:dyDescent="0.25">
      <c r="A22" s="56"/>
      <c r="B22" s="53"/>
      <c r="C22" s="17" t="s">
        <v>29</v>
      </c>
      <c r="D22" s="18">
        <f>SUM(J22,L22,N22,P22,R22,T22,V22,X22,Z22,AB22,AD22,AF22)</f>
        <v>309.7</v>
      </c>
      <c r="E22" s="18">
        <f>J22+L22</f>
        <v>0</v>
      </c>
      <c r="F22" s="18">
        <f>G22</f>
        <v>0</v>
      </c>
      <c r="G22" s="18">
        <f>SUM(K22,M22,O22,Q22,S22,U22,W22,Y22,AA22,AC22,AE22,AG22)</f>
        <v>0</v>
      </c>
      <c r="H22" s="18">
        <f t="shared" si="2"/>
        <v>0</v>
      </c>
      <c r="I22" s="18">
        <f t="shared" si="3"/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10.5</v>
      </c>
      <c r="S22" s="19">
        <v>0</v>
      </c>
      <c r="T22" s="19">
        <v>10.5</v>
      </c>
      <c r="U22" s="19">
        <v>0</v>
      </c>
      <c r="V22" s="19">
        <v>110.5</v>
      </c>
      <c r="W22" s="19">
        <v>0</v>
      </c>
      <c r="X22" s="19">
        <v>10.5</v>
      </c>
      <c r="Y22" s="19">
        <v>0</v>
      </c>
      <c r="Z22" s="19">
        <v>10.5</v>
      </c>
      <c r="AA22" s="19">
        <v>0</v>
      </c>
      <c r="AB22" s="19">
        <v>10.5</v>
      </c>
      <c r="AC22" s="19">
        <v>0</v>
      </c>
      <c r="AD22" s="19">
        <v>10.5</v>
      </c>
      <c r="AE22" s="19">
        <v>0</v>
      </c>
      <c r="AF22" s="19">
        <v>136.19999999999999</v>
      </c>
      <c r="AG22" s="19">
        <v>0</v>
      </c>
      <c r="AH22" s="29"/>
      <c r="AI22" s="30">
        <f t="shared" si="5"/>
        <v>0</v>
      </c>
    </row>
    <row r="23" spans="1:35" s="28" customFormat="1" ht="42" customHeight="1" x14ac:dyDescent="0.25">
      <c r="A23" s="54"/>
      <c r="B23" s="52" t="s">
        <v>44</v>
      </c>
      <c r="C23" s="14" t="s">
        <v>28</v>
      </c>
      <c r="D23" s="15">
        <f>D24</f>
        <v>4200</v>
      </c>
      <c r="E23" s="15">
        <f>E24</f>
        <v>4200</v>
      </c>
      <c r="F23" s="15">
        <f>F24</f>
        <v>0</v>
      </c>
      <c r="G23" s="15">
        <f>G24</f>
        <v>0</v>
      </c>
      <c r="H23" s="15">
        <f>IFERROR(G23/D23*100,0)</f>
        <v>0</v>
      </c>
      <c r="I23" s="15">
        <f>IFERROR(G23/E23*100,0)</f>
        <v>0</v>
      </c>
      <c r="J23" s="16">
        <f t="shared" ref="J23:AG25" si="9">J24</f>
        <v>0</v>
      </c>
      <c r="K23" s="16">
        <f t="shared" si="9"/>
        <v>0</v>
      </c>
      <c r="L23" s="16">
        <f t="shared" si="9"/>
        <v>4200</v>
      </c>
      <c r="M23" s="16">
        <f t="shared" si="9"/>
        <v>0</v>
      </c>
      <c r="N23" s="16">
        <f t="shared" si="9"/>
        <v>0</v>
      </c>
      <c r="O23" s="16">
        <f t="shared" si="9"/>
        <v>0</v>
      </c>
      <c r="P23" s="16">
        <f t="shared" si="9"/>
        <v>0</v>
      </c>
      <c r="Q23" s="16">
        <f t="shared" si="9"/>
        <v>0</v>
      </c>
      <c r="R23" s="16">
        <f t="shared" si="9"/>
        <v>0</v>
      </c>
      <c r="S23" s="16">
        <f t="shared" si="9"/>
        <v>0</v>
      </c>
      <c r="T23" s="16">
        <f t="shared" si="9"/>
        <v>0</v>
      </c>
      <c r="U23" s="16">
        <f t="shared" si="9"/>
        <v>0</v>
      </c>
      <c r="V23" s="16">
        <f t="shared" si="9"/>
        <v>0</v>
      </c>
      <c r="W23" s="16">
        <f t="shared" si="9"/>
        <v>0</v>
      </c>
      <c r="X23" s="16">
        <f t="shared" si="9"/>
        <v>0</v>
      </c>
      <c r="Y23" s="16">
        <f t="shared" si="9"/>
        <v>0</v>
      </c>
      <c r="Z23" s="16">
        <f t="shared" si="9"/>
        <v>0</v>
      </c>
      <c r="AA23" s="16">
        <f t="shared" si="9"/>
        <v>0</v>
      </c>
      <c r="AB23" s="16">
        <f t="shared" si="9"/>
        <v>0</v>
      </c>
      <c r="AC23" s="16">
        <f t="shared" si="9"/>
        <v>0</v>
      </c>
      <c r="AD23" s="16">
        <f t="shared" si="9"/>
        <v>0</v>
      </c>
      <c r="AE23" s="16">
        <f t="shared" si="9"/>
        <v>0</v>
      </c>
      <c r="AF23" s="16">
        <f t="shared" si="9"/>
        <v>0</v>
      </c>
      <c r="AG23" s="16">
        <f t="shared" si="9"/>
        <v>0</v>
      </c>
      <c r="AH23" s="26"/>
      <c r="AI23" s="27">
        <f>E23-G23</f>
        <v>4200</v>
      </c>
    </row>
    <row r="24" spans="1:35" s="31" customFormat="1" ht="42" customHeight="1" x14ac:dyDescent="0.25">
      <c r="A24" s="55"/>
      <c r="B24" s="53"/>
      <c r="C24" s="17" t="s">
        <v>29</v>
      </c>
      <c r="D24" s="18">
        <f>SUM(J24,L24,N24,P24,R24,T24,V24,X24,Z24,AB24,AD24,AF24)</f>
        <v>4200</v>
      </c>
      <c r="E24" s="18">
        <f>J24+L24</f>
        <v>4200</v>
      </c>
      <c r="F24" s="18">
        <f>G24</f>
        <v>0</v>
      </c>
      <c r="G24" s="18">
        <f>SUM(K24,M24,O24,Q24,S24,U24,W24,Y24,AA24,AC24,AE24,AG24)</f>
        <v>0</v>
      </c>
      <c r="H24" s="18">
        <f>IFERROR(G24/D24*100,0)</f>
        <v>0</v>
      </c>
      <c r="I24" s="18">
        <f>IFERROR(G24/E24*100,0)</f>
        <v>0</v>
      </c>
      <c r="J24" s="19">
        <v>0</v>
      </c>
      <c r="K24" s="19">
        <v>0</v>
      </c>
      <c r="L24" s="19">
        <v>4200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29"/>
      <c r="AI24" s="30">
        <f>E24-G24</f>
        <v>4200</v>
      </c>
    </row>
    <row r="25" spans="1:35" s="28" customFormat="1" ht="42" customHeight="1" x14ac:dyDescent="0.25">
      <c r="A25" s="54"/>
      <c r="B25" s="52" t="s">
        <v>45</v>
      </c>
      <c r="C25" s="14" t="s">
        <v>28</v>
      </c>
      <c r="D25" s="15">
        <f>D26</f>
        <v>556.40000000000009</v>
      </c>
      <c r="E25" s="15">
        <f>E26</f>
        <v>0</v>
      </c>
      <c r="F25" s="15">
        <f>F26</f>
        <v>0</v>
      </c>
      <c r="G25" s="15">
        <f>G26</f>
        <v>0</v>
      </c>
      <c r="H25" s="15">
        <f>IFERROR(G25/D25*100,0)</f>
        <v>0</v>
      </c>
      <c r="I25" s="15">
        <f>IFERROR(G25/E25*100,0)</f>
        <v>0</v>
      </c>
      <c r="J25" s="16">
        <f t="shared" si="9"/>
        <v>0</v>
      </c>
      <c r="K25" s="16">
        <f t="shared" si="9"/>
        <v>0</v>
      </c>
      <c r="L25" s="16">
        <f t="shared" si="9"/>
        <v>0</v>
      </c>
      <c r="M25" s="16">
        <f t="shared" si="9"/>
        <v>0</v>
      </c>
      <c r="N25" s="16">
        <f t="shared" si="9"/>
        <v>0</v>
      </c>
      <c r="O25" s="16">
        <f t="shared" si="9"/>
        <v>0</v>
      </c>
      <c r="P25" s="16">
        <f t="shared" si="9"/>
        <v>46.36</v>
      </c>
      <c r="Q25" s="16">
        <f t="shared" si="9"/>
        <v>0</v>
      </c>
      <c r="R25" s="16">
        <f t="shared" si="9"/>
        <v>46.36</v>
      </c>
      <c r="S25" s="16">
        <f t="shared" si="9"/>
        <v>0</v>
      </c>
      <c r="T25" s="16">
        <f t="shared" si="9"/>
        <v>46.36</v>
      </c>
      <c r="U25" s="16">
        <f t="shared" si="9"/>
        <v>0</v>
      </c>
      <c r="V25" s="16">
        <f t="shared" si="9"/>
        <v>46.36</v>
      </c>
      <c r="W25" s="16">
        <f t="shared" si="9"/>
        <v>0</v>
      </c>
      <c r="X25" s="16">
        <f t="shared" si="9"/>
        <v>46.36</v>
      </c>
      <c r="Y25" s="16">
        <f t="shared" si="9"/>
        <v>0</v>
      </c>
      <c r="Z25" s="16">
        <f t="shared" si="9"/>
        <v>46.36</v>
      </c>
      <c r="AA25" s="16">
        <f t="shared" si="9"/>
        <v>0</v>
      </c>
      <c r="AB25" s="16">
        <f t="shared" si="9"/>
        <v>46.36</v>
      </c>
      <c r="AC25" s="16">
        <f t="shared" si="9"/>
        <v>0</v>
      </c>
      <c r="AD25" s="16">
        <f t="shared" si="9"/>
        <v>46.36</v>
      </c>
      <c r="AE25" s="16">
        <f t="shared" si="9"/>
        <v>0</v>
      </c>
      <c r="AF25" s="16">
        <f t="shared" si="9"/>
        <v>185.52</v>
      </c>
      <c r="AG25" s="16">
        <f t="shared" si="9"/>
        <v>0</v>
      </c>
      <c r="AH25" s="26"/>
      <c r="AI25" s="27">
        <f>E25-G25</f>
        <v>0</v>
      </c>
    </row>
    <row r="26" spans="1:35" s="31" customFormat="1" ht="42" customHeight="1" x14ac:dyDescent="0.25">
      <c r="A26" s="55"/>
      <c r="B26" s="53"/>
      <c r="C26" s="17" t="s">
        <v>29</v>
      </c>
      <c r="D26" s="18">
        <f>SUM(J26,L26,N26,P26,R26,T26,V26,X26,Z26,AB26,AD26,AF26)</f>
        <v>556.40000000000009</v>
      </c>
      <c r="E26" s="18">
        <f>J26+L26</f>
        <v>0</v>
      </c>
      <c r="F26" s="18">
        <f>G26</f>
        <v>0</v>
      </c>
      <c r="G26" s="18">
        <f>SUM(K26,M26,O26,Q26,S26,U26,W26,Y26,AA26,AC26,AE26,AG26)</f>
        <v>0</v>
      </c>
      <c r="H26" s="18">
        <f>IFERROR(G26/D26*100,0)</f>
        <v>0</v>
      </c>
      <c r="I26" s="18">
        <f>IFERROR(G26/E26*100,0)</f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f>46360/1000</f>
        <v>46.36</v>
      </c>
      <c r="Q26" s="19">
        <v>0</v>
      </c>
      <c r="R26" s="19">
        <f>46360/1000</f>
        <v>46.36</v>
      </c>
      <c r="S26" s="19">
        <v>0</v>
      </c>
      <c r="T26" s="19">
        <f>46360/1000</f>
        <v>46.36</v>
      </c>
      <c r="U26" s="19">
        <v>0</v>
      </c>
      <c r="V26" s="19">
        <f>46360/1000</f>
        <v>46.36</v>
      </c>
      <c r="W26" s="19">
        <v>0</v>
      </c>
      <c r="X26" s="19">
        <f>46360/1000</f>
        <v>46.36</v>
      </c>
      <c r="Y26" s="19">
        <v>0</v>
      </c>
      <c r="Z26" s="19">
        <f>46360/1000</f>
        <v>46.36</v>
      </c>
      <c r="AA26" s="19">
        <v>0</v>
      </c>
      <c r="AB26" s="19">
        <f>46360/1000</f>
        <v>46.36</v>
      </c>
      <c r="AC26" s="19">
        <v>0</v>
      </c>
      <c r="AD26" s="19">
        <f>46360/1000</f>
        <v>46.36</v>
      </c>
      <c r="AE26" s="19">
        <v>0</v>
      </c>
      <c r="AF26" s="19">
        <f>185520/1000</f>
        <v>185.52</v>
      </c>
      <c r="AG26" s="19">
        <v>0</v>
      </c>
      <c r="AH26" s="29"/>
      <c r="AI26" s="30">
        <f>E26-G26</f>
        <v>0</v>
      </c>
    </row>
    <row r="27" spans="1:35" s="13" customFormat="1" ht="18.75" customHeight="1" x14ac:dyDescent="0.25">
      <c r="A27" s="11" t="s">
        <v>39</v>
      </c>
      <c r="B27" s="57" t="s">
        <v>31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9"/>
      <c r="AH27" s="12"/>
      <c r="AI27" s="20"/>
    </row>
    <row r="28" spans="1:35" s="9" customFormat="1" ht="82.5" customHeight="1" x14ac:dyDescent="0.25">
      <c r="A28" s="48" t="s">
        <v>40</v>
      </c>
      <c r="B28" s="50" t="s">
        <v>41</v>
      </c>
      <c r="C28" s="36" t="s">
        <v>28</v>
      </c>
      <c r="D28" s="37">
        <f>D29</f>
        <v>9452.1</v>
      </c>
      <c r="E28" s="37">
        <f>E29</f>
        <v>1991.5299999999997</v>
      </c>
      <c r="F28" s="37">
        <f t="shared" ref="E28:G30" si="10">F29</f>
        <v>1582.6498900000001</v>
      </c>
      <c r="G28" s="37">
        <f t="shared" si="10"/>
        <v>1582.6498900000001</v>
      </c>
      <c r="H28" s="37">
        <f t="shared" si="2"/>
        <v>16.743897017593977</v>
      </c>
      <c r="I28" s="37">
        <f t="shared" si="3"/>
        <v>79.469045909426441</v>
      </c>
      <c r="J28" s="38">
        <f>J29</f>
        <v>1204.9469999999999</v>
      </c>
      <c r="K28" s="38">
        <f t="shared" ref="K28:AG30" si="11">K29</f>
        <v>835.91274999999996</v>
      </c>
      <c r="L28" s="38">
        <f t="shared" si="11"/>
        <v>786.58299999999997</v>
      </c>
      <c r="M28" s="38">
        <f t="shared" si="11"/>
        <v>746.73714000000007</v>
      </c>
      <c r="N28" s="38">
        <f t="shared" si="11"/>
        <v>649.17899999999997</v>
      </c>
      <c r="O28" s="38">
        <f t="shared" si="11"/>
        <v>0</v>
      </c>
      <c r="P28" s="38">
        <f t="shared" si="11"/>
        <v>854.86099999999999</v>
      </c>
      <c r="Q28" s="38">
        <f t="shared" si="11"/>
        <v>0</v>
      </c>
      <c r="R28" s="38">
        <f t="shared" si="11"/>
        <v>711.29399999999998</v>
      </c>
      <c r="S28" s="38">
        <f t="shared" si="11"/>
        <v>0</v>
      </c>
      <c r="T28" s="38">
        <f t="shared" si="11"/>
        <v>649.17899999999997</v>
      </c>
      <c r="U28" s="38">
        <f t="shared" si="11"/>
        <v>0</v>
      </c>
      <c r="V28" s="38">
        <f t="shared" si="11"/>
        <v>854.86099999999999</v>
      </c>
      <c r="W28" s="38">
        <f t="shared" si="11"/>
        <v>0</v>
      </c>
      <c r="X28" s="38">
        <f t="shared" si="11"/>
        <v>711.29399999999998</v>
      </c>
      <c r="Y28" s="38">
        <f t="shared" si="11"/>
        <v>0</v>
      </c>
      <c r="Z28" s="38">
        <f t="shared" si="11"/>
        <v>649.17899999999997</v>
      </c>
      <c r="AA28" s="38">
        <f t="shared" si="11"/>
        <v>0</v>
      </c>
      <c r="AB28" s="38">
        <f t="shared" si="11"/>
        <v>752.02</v>
      </c>
      <c r="AC28" s="38">
        <f t="shared" si="11"/>
        <v>0</v>
      </c>
      <c r="AD28" s="38">
        <f t="shared" si="11"/>
        <v>738.23599999999999</v>
      </c>
      <c r="AE28" s="38">
        <f t="shared" si="11"/>
        <v>0</v>
      </c>
      <c r="AF28" s="38">
        <f t="shared" si="11"/>
        <v>890.46699999999998</v>
      </c>
      <c r="AG28" s="38">
        <f t="shared" si="11"/>
        <v>0</v>
      </c>
      <c r="AH28" s="12"/>
      <c r="AI28" s="30">
        <f>E28-G28</f>
        <v>408.8801099999996</v>
      </c>
    </row>
    <row r="29" spans="1:35" s="10" customFormat="1" ht="73.5" customHeight="1" x14ac:dyDescent="0.25">
      <c r="A29" s="49"/>
      <c r="B29" s="51"/>
      <c r="C29" s="40" t="s">
        <v>29</v>
      </c>
      <c r="D29" s="41">
        <f>SUM(J29,L29,N29,P29,R29,T29,V29,X29,Z29,AB29,AD29,AF29)</f>
        <v>9452.1</v>
      </c>
      <c r="E29" s="41">
        <f>J29+L29</f>
        <v>1991.5299999999997</v>
      </c>
      <c r="F29" s="41">
        <f>G29</f>
        <v>1582.6498900000001</v>
      </c>
      <c r="G29" s="41">
        <f>SUM(K29,M29,O29,Q29,S29,U29,W29,Y29,AA29,AC29,AE29,AG29)</f>
        <v>1582.6498900000001</v>
      </c>
      <c r="H29" s="41">
        <f>IFERROR(G29/D29*100,0)</f>
        <v>16.743897017593977</v>
      </c>
      <c r="I29" s="41">
        <f>IFERROR(G29/E29*100,0)</f>
        <v>79.469045909426441</v>
      </c>
      <c r="J29" s="42">
        <v>1204.9469999999999</v>
      </c>
      <c r="K29" s="42">
        <f>(804071.23+31841.52)/1000</f>
        <v>835.91274999999996</v>
      </c>
      <c r="L29" s="42">
        <v>786.58299999999997</v>
      </c>
      <c r="M29" s="42">
        <f>(423401.8+323335.34)/1000</f>
        <v>746.73714000000007</v>
      </c>
      <c r="N29" s="42">
        <v>649.17899999999997</v>
      </c>
      <c r="O29" s="42">
        <v>0</v>
      </c>
      <c r="P29" s="42">
        <v>854.86099999999999</v>
      </c>
      <c r="Q29" s="42">
        <v>0</v>
      </c>
      <c r="R29" s="42">
        <v>711.29399999999998</v>
      </c>
      <c r="S29" s="42">
        <v>0</v>
      </c>
      <c r="T29" s="42">
        <v>649.17899999999997</v>
      </c>
      <c r="U29" s="42">
        <v>0</v>
      </c>
      <c r="V29" s="42">
        <v>854.86099999999999</v>
      </c>
      <c r="W29" s="42">
        <v>0</v>
      </c>
      <c r="X29" s="42">
        <v>711.29399999999998</v>
      </c>
      <c r="Y29" s="42">
        <v>0</v>
      </c>
      <c r="Z29" s="42">
        <v>649.17899999999997</v>
      </c>
      <c r="AA29" s="42">
        <v>0</v>
      </c>
      <c r="AB29" s="42">
        <v>752.02</v>
      </c>
      <c r="AC29" s="42">
        <v>0</v>
      </c>
      <c r="AD29" s="42">
        <v>738.23599999999999</v>
      </c>
      <c r="AE29" s="42">
        <v>0</v>
      </c>
      <c r="AF29" s="42">
        <v>890.46699999999998</v>
      </c>
      <c r="AG29" s="42">
        <v>0</v>
      </c>
      <c r="AH29" s="12"/>
      <c r="AI29" s="30">
        <f>E29-G29</f>
        <v>408.8801099999996</v>
      </c>
    </row>
    <row r="30" spans="1:35" s="9" customFormat="1" ht="179.25" customHeight="1" x14ac:dyDescent="0.25">
      <c r="A30" s="48" t="s">
        <v>42</v>
      </c>
      <c r="B30" s="50" t="s">
        <v>43</v>
      </c>
      <c r="C30" s="36" t="s">
        <v>28</v>
      </c>
      <c r="D30" s="37">
        <f>D31</f>
        <v>44464.600099999996</v>
      </c>
      <c r="E30" s="37">
        <f t="shared" si="10"/>
        <v>6901.0330299999996</v>
      </c>
      <c r="F30" s="37">
        <f t="shared" si="10"/>
        <v>4592.7122600000002</v>
      </c>
      <c r="G30" s="37">
        <f t="shared" si="10"/>
        <v>4592.7122600000002</v>
      </c>
      <c r="H30" s="37">
        <f>IFERROR(G30/D30*100,0)</f>
        <v>10.328918397266774</v>
      </c>
      <c r="I30" s="37">
        <f>IFERROR(G30/E30*100,0)</f>
        <v>66.551083584655728</v>
      </c>
      <c r="J30" s="38">
        <f>J31</f>
        <v>3169.7449999999999</v>
      </c>
      <c r="K30" s="38">
        <f t="shared" si="11"/>
        <v>1148.50991</v>
      </c>
      <c r="L30" s="38">
        <f t="shared" si="11"/>
        <v>3731.2880299999997</v>
      </c>
      <c r="M30" s="38">
        <f t="shared" si="11"/>
        <v>3444.20235</v>
      </c>
      <c r="N30" s="38">
        <f t="shared" si="11"/>
        <v>3787.8880299999996</v>
      </c>
      <c r="O30" s="38">
        <f t="shared" si="11"/>
        <v>0</v>
      </c>
      <c r="P30" s="38">
        <f t="shared" si="11"/>
        <v>4045.3388300000001</v>
      </c>
      <c r="Q30" s="38">
        <f t="shared" si="11"/>
        <v>0</v>
      </c>
      <c r="R30" s="38">
        <f t="shared" si="11"/>
        <v>3832.76683</v>
      </c>
      <c r="S30" s="38">
        <f t="shared" si="11"/>
        <v>0</v>
      </c>
      <c r="T30" s="38">
        <f t="shared" si="11"/>
        <v>3814.98803</v>
      </c>
      <c r="U30" s="38">
        <f t="shared" si="11"/>
        <v>0</v>
      </c>
      <c r="V30" s="38">
        <f t="shared" si="11"/>
        <v>3653.2450299999996</v>
      </c>
      <c r="W30" s="38">
        <f t="shared" si="11"/>
        <v>0</v>
      </c>
      <c r="X30" s="38">
        <f t="shared" si="11"/>
        <v>3509.7880299999997</v>
      </c>
      <c r="Y30" s="38">
        <f t="shared" si="11"/>
        <v>0</v>
      </c>
      <c r="Z30" s="38">
        <f t="shared" si="11"/>
        <v>3274.7880299999997</v>
      </c>
      <c r="AA30" s="38">
        <f t="shared" si="11"/>
        <v>0</v>
      </c>
      <c r="AB30" s="38">
        <f t="shared" si="11"/>
        <v>3411.3020299999998</v>
      </c>
      <c r="AC30" s="38">
        <f t="shared" si="11"/>
        <v>0</v>
      </c>
      <c r="AD30" s="38">
        <f t="shared" si="11"/>
        <v>3441.89023</v>
      </c>
      <c r="AE30" s="38">
        <f t="shared" si="11"/>
        <v>0</v>
      </c>
      <c r="AF30" s="38">
        <f t="shared" si="11"/>
        <v>4791.5720000000001</v>
      </c>
      <c r="AG30" s="38">
        <f t="shared" si="11"/>
        <v>0</v>
      </c>
      <c r="AH30" s="12"/>
      <c r="AI30" s="30"/>
    </row>
    <row r="31" spans="1:35" s="10" customFormat="1" ht="73.5" customHeight="1" x14ac:dyDescent="0.25">
      <c r="A31" s="49"/>
      <c r="B31" s="51"/>
      <c r="C31" s="40" t="s">
        <v>29</v>
      </c>
      <c r="D31" s="41">
        <f>SUM(J31,L31,N31,P31,R31,T31,V31,X31,Z31,AB31,AD31,AF31)</f>
        <v>44464.600099999996</v>
      </c>
      <c r="E31" s="41">
        <f>J31+L31</f>
        <v>6901.0330299999996</v>
      </c>
      <c r="F31" s="41">
        <f>G31</f>
        <v>4592.7122600000002</v>
      </c>
      <c r="G31" s="41">
        <f>SUM(K31,M31,O31,Q31,S31,U31,W31,Y31,AA31,AC31,AE31,AG31)</f>
        <v>4592.7122600000002</v>
      </c>
      <c r="H31" s="41">
        <f>IFERROR(G31/D31*100,0)</f>
        <v>10.328918397266774</v>
      </c>
      <c r="I31" s="41">
        <f>IFERROR(G31/E31*100,0)</f>
        <v>66.551083584655728</v>
      </c>
      <c r="J31" s="42">
        <v>3169.7449999999999</v>
      </c>
      <c r="K31" s="42">
        <f>1148509.91/1000</f>
        <v>1148.50991</v>
      </c>
      <c r="L31" s="42">
        <f>3731288.03/1000</f>
        <v>3731.2880299999997</v>
      </c>
      <c r="M31" s="42">
        <f>3444202.35/1000</f>
        <v>3444.20235</v>
      </c>
      <c r="N31" s="42">
        <f>3787888.03/1000</f>
        <v>3787.8880299999996</v>
      </c>
      <c r="O31" s="42">
        <v>0</v>
      </c>
      <c r="P31" s="42">
        <f>4045338.83/1000</f>
        <v>4045.3388300000001</v>
      </c>
      <c r="Q31" s="42">
        <v>0</v>
      </c>
      <c r="R31" s="42">
        <f>3832766.83/1000</f>
        <v>3832.76683</v>
      </c>
      <c r="S31" s="42">
        <v>0</v>
      </c>
      <c r="T31" s="42">
        <f>3814988.03/1000</f>
        <v>3814.98803</v>
      </c>
      <c r="U31" s="42">
        <v>0</v>
      </c>
      <c r="V31" s="42">
        <f>3653245.03/1000</f>
        <v>3653.2450299999996</v>
      </c>
      <c r="W31" s="42">
        <v>0</v>
      </c>
      <c r="X31" s="42">
        <f>3509788.03/1000</f>
        <v>3509.7880299999997</v>
      </c>
      <c r="Y31" s="42">
        <v>0</v>
      </c>
      <c r="Z31" s="42">
        <f>3274788.03/1000</f>
        <v>3274.7880299999997</v>
      </c>
      <c r="AA31" s="42">
        <v>0</v>
      </c>
      <c r="AB31" s="42">
        <f>3411302.03/1000</f>
        <v>3411.3020299999998</v>
      </c>
      <c r="AC31" s="42">
        <v>0</v>
      </c>
      <c r="AD31" s="42">
        <f>3441890.23/1000</f>
        <v>3441.89023</v>
      </c>
      <c r="AE31" s="42">
        <v>0</v>
      </c>
      <c r="AF31" s="42">
        <f>4791572/1000</f>
        <v>4791.5720000000001</v>
      </c>
      <c r="AG31" s="42">
        <v>0</v>
      </c>
      <c r="AH31" s="12"/>
      <c r="AI31" s="30"/>
    </row>
    <row r="32" spans="1:35" s="8" customFormat="1" x14ac:dyDescent="0.25">
      <c r="C32" s="2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7:9" x14ac:dyDescent="0.25">
      <c r="G33" s="23"/>
      <c r="I33" s="23"/>
    </row>
  </sheetData>
  <mergeCells count="47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9"/>
    <mergeCell ref="B8:B9"/>
    <mergeCell ref="B10:AG10"/>
    <mergeCell ref="A11:A12"/>
    <mergeCell ref="B11:B12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3:A14"/>
    <mergeCell ref="B13:B14"/>
    <mergeCell ref="A15:A16"/>
    <mergeCell ref="B15:B16"/>
    <mergeCell ref="A17:A18"/>
    <mergeCell ref="B17:B18"/>
    <mergeCell ref="A30:A31"/>
    <mergeCell ref="B30:B31"/>
    <mergeCell ref="B23:B24"/>
    <mergeCell ref="A23:A24"/>
    <mergeCell ref="A19:A20"/>
    <mergeCell ref="B19:B20"/>
    <mergeCell ref="A21:A22"/>
    <mergeCell ref="B21:B22"/>
    <mergeCell ref="B27:AG27"/>
    <mergeCell ref="A28:A29"/>
    <mergeCell ref="B28:B29"/>
    <mergeCell ref="A25:A26"/>
    <mergeCell ref="B25:B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год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Рутковская Анна Николаевна</cp:lastModifiedBy>
  <dcterms:created xsi:type="dcterms:W3CDTF">2026-02-03T09:15:32Z</dcterms:created>
  <dcterms:modified xsi:type="dcterms:W3CDTF">2026-05-13T09:49:12Z</dcterms:modified>
</cp:coreProperties>
</file>