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11895" yWindow="45" windowWidth="16815" windowHeight="12540" tabRatio="648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'2019'!$A$1:$AF$89</definedName>
  </definedNames>
  <calcPr calcId="124519"/>
</workbook>
</file>

<file path=xl/calcChain.xml><?xml version="1.0" encoding="utf-8"?>
<calcChain xmlns="http://schemas.openxmlformats.org/spreadsheetml/2006/main">
  <c r="T18" i="28"/>
  <c r="R79"/>
  <c r="C81" l="1"/>
  <c r="C82" l="1"/>
  <c r="C84"/>
  <c r="C85"/>
  <c r="C79"/>
  <c r="C72"/>
  <c r="C65"/>
  <c r="C60"/>
  <c r="C54"/>
  <c r="C46"/>
  <c r="C41"/>
  <c r="C34"/>
  <c r="C35"/>
  <c r="C33"/>
  <c r="C26"/>
  <c r="C21"/>
  <c r="C20"/>
  <c r="C15"/>
  <c r="C16"/>
  <c r="C14"/>
  <c r="B14"/>
  <c r="E41" l="1"/>
  <c r="E33" l="1"/>
  <c r="E34"/>
  <c r="E21"/>
  <c r="E16"/>
  <c r="B82" l="1"/>
  <c r="B81"/>
  <c r="E79"/>
  <c r="Q79"/>
  <c r="C29" l="1"/>
  <c r="E46"/>
  <c r="V83" l="1"/>
  <c r="V21"/>
  <c r="B62"/>
  <c r="F62" s="1"/>
  <c r="B63"/>
  <c r="B64"/>
  <c r="B65"/>
  <c r="F65" s="1"/>
  <c r="C62"/>
  <c r="G62" s="1"/>
  <c r="C63"/>
  <c r="C64"/>
  <c r="D62"/>
  <c r="D63"/>
  <c r="D64"/>
  <c r="D65"/>
  <c r="E62"/>
  <c r="E63"/>
  <c r="E64"/>
  <c r="E65"/>
  <c r="G65" s="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H62"/>
  <c r="N34" l="1"/>
  <c r="E72"/>
  <c r="B60" l="1"/>
  <c r="E54"/>
  <c r="O79"/>
  <c r="M79" l="1"/>
  <c r="C32" l="1"/>
  <c r="E26"/>
  <c r="AB79" l="1"/>
  <c r="L79"/>
  <c r="P41"/>
  <c r="R41"/>
  <c r="N41"/>
  <c r="L41"/>
  <c r="X21"/>
  <c r="P21"/>
  <c r="C71" l="1"/>
  <c r="C70"/>
  <c r="B24"/>
  <c r="B25"/>
  <c r="C25"/>
  <c r="C24"/>
  <c r="C19"/>
  <c r="H79" l="1"/>
  <c r="K79"/>
  <c r="AD79" l="1"/>
  <c r="J79"/>
  <c r="AB21"/>
  <c r="AD21"/>
  <c r="J21"/>
  <c r="D54" l="1"/>
  <c r="I79" l="1"/>
  <c r="C77" l="1"/>
  <c r="B78"/>
  <c r="B77"/>
  <c r="D79"/>
  <c r="D41"/>
  <c r="E58"/>
  <c r="D58" s="1"/>
  <c r="E59"/>
  <c r="D59" s="1"/>
  <c r="E60"/>
  <c r="D60" s="1"/>
  <c r="E57"/>
  <c r="D57" s="1"/>
  <c r="C57"/>
  <c r="C58"/>
  <c r="C59"/>
  <c r="B58"/>
  <c r="B59"/>
  <c r="B57"/>
  <c r="E51"/>
  <c r="C52"/>
  <c r="C53"/>
  <c r="C51"/>
  <c r="B52"/>
  <c r="B53"/>
  <c r="B51"/>
  <c r="I50"/>
  <c r="B56" l="1"/>
  <c r="C56"/>
  <c r="C50"/>
  <c r="E56"/>
  <c r="D56"/>
  <c r="D51"/>
  <c r="I84"/>
  <c r="B70"/>
  <c r="B71"/>
  <c r="D72"/>
  <c r="I69"/>
  <c r="D46"/>
  <c r="C44"/>
  <c r="E44"/>
  <c r="C45"/>
  <c r="B45"/>
  <c r="B44"/>
  <c r="I43"/>
  <c r="D34"/>
  <c r="E35"/>
  <c r="D35" s="1"/>
  <c r="E32"/>
  <c r="D32" s="1"/>
  <c r="I31"/>
  <c r="H31"/>
  <c r="B34"/>
  <c r="B32"/>
  <c r="E29"/>
  <c r="E28" s="1"/>
  <c r="C28"/>
  <c r="G28"/>
  <c r="D26"/>
  <c r="B15"/>
  <c r="C48" l="1"/>
  <c r="D31"/>
  <c r="D16"/>
  <c r="D29"/>
  <c r="D28" s="1"/>
  <c r="Z21"/>
  <c r="T21"/>
  <c r="R21"/>
  <c r="N21"/>
  <c r="L21"/>
  <c r="I85"/>
  <c r="J85"/>
  <c r="K85"/>
  <c r="L85"/>
  <c r="M85"/>
  <c r="N85"/>
  <c r="O85"/>
  <c r="P85"/>
  <c r="Q85"/>
  <c r="S85"/>
  <c r="T85"/>
  <c r="U85"/>
  <c r="V85"/>
  <c r="W85"/>
  <c r="X85"/>
  <c r="Y85"/>
  <c r="Z85"/>
  <c r="AA85"/>
  <c r="AB85"/>
  <c r="AC85"/>
  <c r="AE85"/>
  <c r="H85"/>
  <c r="AD85"/>
  <c r="H50"/>
  <c r="R54"/>
  <c r="J31"/>
  <c r="K31"/>
  <c r="M31"/>
  <c r="N31"/>
  <c r="O31"/>
  <c r="P31"/>
  <c r="Q31"/>
  <c r="S31"/>
  <c r="U31"/>
  <c r="V31"/>
  <c r="W31"/>
  <c r="Y31"/>
  <c r="Z31"/>
  <c r="AA31"/>
  <c r="AB31"/>
  <c r="AC31"/>
  <c r="AD31"/>
  <c r="AE31"/>
  <c r="I82"/>
  <c r="J82"/>
  <c r="K82"/>
  <c r="M82"/>
  <c r="N82"/>
  <c r="O82"/>
  <c r="P82"/>
  <c r="Q82"/>
  <c r="S82"/>
  <c r="U82"/>
  <c r="V82"/>
  <c r="W82"/>
  <c r="Y82"/>
  <c r="Z82"/>
  <c r="AA82"/>
  <c r="AB82"/>
  <c r="AC82"/>
  <c r="AD82"/>
  <c r="AE82"/>
  <c r="I83"/>
  <c r="K83"/>
  <c r="M83"/>
  <c r="O83"/>
  <c r="Q83"/>
  <c r="S83"/>
  <c r="U83"/>
  <c r="W83"/>
  <c r="Y83"/>
  <c r="AA83"/>
  <c r="AC83"/>
  <c r="AE83"/>
  <c r="J84"/>
  <c r="K84"/>
  <c r="M84"/>
  <c r="N84"/>
  <c r="O84"/>
  <c r="P84"/>
  <c r="Q84"/>
  <c r="S84"/>
  <c r="U84"/>
  <c r="V84"/>
  <c r="W84"/>
  <c r="Y84"/>
  <c r="Z84"/>
  <c r="AA84"/>
  <c r="AB84"/>
  <c r="AC84"/>
  <c r="AD84"/>
  <c r="AE84"/>
  <c r="H84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I56"/>
  <c r="I48" s="1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H56"/>
  <c r="J50"/>
  <c r="K50"/>
  <c r="L50"/>
  <c r="M50"/>
  <c r="N50"/>
  <c r="O50"/>
  <c r="P50"/>
  <c r="Q50"/>
  <c r="S50"/>
  <c r="S48" s="1"/>
  <c r="T50"/>
  <c r="U50"/>
  <c r="U48" s="1"/>
  <c r="V50"/>
  <c r="W50"/>
  <c r="W48" s="1"/>
  <c r="X50"/>
  <c r="Y50"/>
  <c r="Y48" s="1"/>
  <c r="Z50"/>
  <c r="AA50"/>
  <c r="AA48" s="1"/>
  <c r="AB50"/>
  <c r="AB48" s="1"/>
  <c r="AC50"/>
  <c r="AC48" s="1"/>
  <c r="AE50"/>
  <c r="E52"/>
  <c r="E53"/>
  <c r="D53" s="1"/>
  <c r="G60"/>
  <c r="F60"/>
  <c r="E85" l="1"/>
  <c r="E82"/>
  <c r="E81"/>
  <c r="D81" s="1"/>
  <c r="P48"/>
  <c r="N48"/>
  <c r="L48"/>
  <c r="AE48"/>
  <c r="AD50"/>
  <c r="AD48" s="1"/>
  <c r="Q48"/>
  <c r="M48"/>
  <c r="Q80"/>
  <c r="O48"/>
  <c r="O80"/>
  <c r="M80"/>
  <c r="J48"/>
  <c r="B54"/>
  <c r="B50" s="1"/>
  <c r="B48" s="1"/>
  <c r="R50"/>
  <c r="R85"/>
  <c r="B85" s="1"/>
  <c r="R48"/>
  <c r="H48"/>
  <c r="AE80"/>
  <c r="AC80"/>
  <c r="Y80"/>
  <c r="W80"/>
  <c r="U80"/>
  <c r="S80"/>
  <c r="K80"/>
  <c r="K48"/>
  <c r="D52"/>
  <c r="D50" s="1"/>
  <c r="E50"/>
  <c r="G56"/>
  <c r="F54"/>
  <c r="G54"/>
  <c r="AA80"/>
  <c r="Z48"/>
  <c r="X48"/>
  <c r="V48"/>
  <c r="T48"/>
  <c r="F56"/>
  <c r="I80"/>
  <c r="I76"/>
  <c r="I73" s="1"/>
  <c r="K76"/>
  <c r="K73" s="1"/>
  <c r="M76"/>
  <c r="M73" s="1"/>
  <c r="O76"/>
  <c r="O73" s="1"/>
  <c r="Q76"/>
  <c r="Q73" s="1"/>
  <c r="S76"/>
  <c r="S73" s="1"/>
  <c r="U76"/>
  <c r="U73" s="1"/>
  <c r="W76"/>
  <c r="W73" s="1"/>
  <c r="Y76"/>
  <c r="Y73" s="1"/>
  <c r="AA76"/>
  <c r="AA73" s="1"/>
  <c r="AC76"/>
  <c r="AC73" s="1"/>
  <c r="AE76"/>
  <c r="AE73" s="1"/>
  <c r="K69"/>
  <c r="M69"/>
  <c r="O69"/>
  <c r="Q69"/>
  <c r="S69"/>
  <c r="S66" s="1"/>
  <c r="T69"/>
  <c r="U69"/>
  <c r="V69"/>
  <c r="W69"/>
  <c r="Y69"/>
  <c r="AA69"/>
  <c r="AC69"/>
  <c r="AD69"/>
  <c r="AE69"/>
  <c r="K66"/>
  <c r="M66"/>
  <c r="O66"/>
  <c r="Q66"/>
  <c r="T66"/>
  <c r="U66"/>
  <c r="V66"/>
  <c r="W66"/>
  <c r="Y66"/>
  <c r="AA66"/>
  <c r="AC66"/>
  <c r="AD66"/>
  <c r="AE66"/>
  <c r="K43"/>
  <c r="M43"/>
  <c r="N43"/>
  <c r="O43"/>
  <c r="P43"/>
  <c r="Q43"/>
  <c r="R43"/>
  <c r="S43"/>
  <c r="T43"/>
  <c r="U43"/>
  <c r="V43"/>
  <c r="W43"/>
  <c r="Y43"/>
  <c r="Z43"/>
  <c r="AA43"/>
  <c r="AB43"/>
  <c r="AC43"/>
  <c r="AD43"/>
  <c r="AE43"/>
  <c r="H43"/>
  <c r="I38"/>
  <c r="I36" s="1"/>
  <c r="K38"/>
  <c r="K36" s="1"/>
  <c r="M38"/>
  <c r="M36" s="1"/>
  <c r="O38"/>
  <c r="O36" s="1"/>
  <c r="Q38"/>
  <c r="Q36" s="1"/>
  <c r="S38"/>
  <c r="S36" s="1"/>
  <c r="U38"/>
  <c r="U36" s="1"/>
  <c r="W38"/>
  <c r="W36" s="1"/>
  <c r="Y38"/>
  <c r="Y36" s="1"/>
  <c r="AA38"/>
  <c r="AA36" s="1"/>
  <c r="AC38"/>
  <c r="AC36" s="1"/>
  <c r="AE38"/>
  <c r="AE36" s="1"/>
  <c r="I28"/>
  <c r="J28"/>
  <c r="K28"/>
  <c r="L28"/>
  <c r="M28"/>
  <c r="N28"/>
  <c r="O28"/>
  <c r="Q28"/>
  <c r="R28"/>
  <c r="S28"/>
  <c r="T28"/>
  <c r="U28"/>
  <c r="V28"/>
  <c r="W28"/>
  <c r="X28"/>
  <c r="Y28"/>
  <c r="Z28"/>
  <c r="AA28"/>
  <c r="AB28"/>
  <c r="AC28"/>
  <c r="AD28"/>
  <c r="AE28"/>
  <c r="I23"/>
  <c r="K23"/>
  <c r="M23"/>
  <c r="O23"/>
  <c r="Q23"/>
  <c r="S23"/>
  <c r="T23"/>
  <c r="U23"/>
  <c r="W23"/>
  <c r="Y23"/>
  <c r="AA23"/>
  <c r="AC23"/>
  <c r="AE23"/>
  <c r="I18"/>
  <c r="K18"/>
  <c r="M18"/>
  <c r="O18"/>
  <c r="Q18"/>
  <c r="S18"/>
  <c r="U18"/>
  <c r="W18"/>
  <c r="Y18"/>
  <c r="AA18"/>
  <c r="AC18"/>
  <c r="AE18"/>
  <c r="I13"/>
  <c r="K13"/>
  <c r="M13"/>
  <c r="O13"/>
  <c r="Q13"/>
  <c r="S13"/>
  <c r="U13"/>
  <c r="U11" s="1"/>
  <c r="W13"/>
  <c r="Y13"/>
  <c r="Y11" s="1"/>
  <c r="AA13"/>
  <c r="AC13"/>
  <c r="AC11" s="1"/>
  <c r="AE13"/>
  <c r="E14"/>
  <c r="E15"/>
  <c r="D15" s="1"/>
  <c r="E19"/>
  <c r="E20"/>
  <c r="D20" s="1"/>
  <c r="D21"/>
  <c r="E24"/>
  <c r="D24" s="1"/>
  <c r="E25"/>
  <c r="D25" s="1"/>
  <c r="E31"/>
  <c r="E39"/>
  <c r="E40"/>
  <c r="D40" s="1"/>
  <c r="D44"/>
  <c r="E45"/>
  <c r="E70"/>
  <c r="E71"/>
  <c r="D71" s="1"/>
  <c r="E77"/>
  <c r="E78"/>
  <c r="D78" s="1"/>
  <c r="E83"/>
  <c r="D83" s="1"/>
  <c r="E84"/>
  <c r="D84" s="1"/>
  <c r="C39"/>
  <c r="C40"/>
  <c r="C78"/>
  <c r="E23" l="1"/>
  <c r="I11"/>
  <c r="D70"/>
  <c r="D69" s="1"/>
  <c r="E69"/>
  <c r="E66" s="1"/>
  <c r="D23"/>
  <c r="D19"/>
  <c r="E18"/>
  <c r="D18" s="1"/>
  <c r="D14"/>
  <c r="E13"/>
  <c r="D13" s="1"/>
  <c r="D39"/>
  <c r="D38" s="1"/>
  <c r="D36" s="1"/>
  <c r="E38"/>
  <c r="E36" s="1"/>
  <c r="D45"/>
  <c r="D43" s="1"/>
  <c r="E43"/>
  <c r="E48"/>
  <c r="D48" s="1"/>
  <c r="G50"/>
  <c r="D77"/>
  <c r="D76" s="1"/>
  <c r="D73" s="1"/>
  <c r="E76"/>
  <c r="E73" s="1"/>
  <c r="D85"/>
  <c r="D80" s="1"/>
  <c r="E80"/>
  <c r="G85"/>
  <c r="I66"/>
  <c r="F50"/>
  <c r="G34"/>
  <c r="AE11"/>
  <c r="AA11"/>
  <c r="W11"/>
  <c r="S11"/>
  <c r="O11"/>
  <c r="K11"/>
  <c r="Q11"/>
  <c r="M11"/>
  <c r="F48" l="1"/>
  <c r="D66"/>
  <c r="E11"/>
  <c r="D11" s="1"/>
  <c r="G48"/>
  <c r="F34"/>
  <c r="H82" l="1"/>
  <c r="H81"/>
  <c r="AD76"/>
  <c r="AD73" s="1"/>
  <c r="AB76"/>
  <c r="AB73" s="1"/>
  <c r="Z79"/>
  <c r="Z76" s="1"/>
  <c r="Z73" s="1"/>
  <c r="X79"/>
  <c r="X76" s="1"/>
  <c r="X73" s="1"/>
  <c r="V79"/>
  <c r="V76" s="1"/>
  <c r="V73" s="1"/>
  <c r="T79"/>
  <c r="T76" s="1"/>
  <c r="T73" s="1"/>
  <c r="R76"/>
  <c r="R73" s="1"/>
  <c r="P79"/>
  <c r="P76" s="1"/>
  <c r="P73" s="1"/>
  <c r="N79"/>
  <c r="J76"/>
  <c r="J73" s="1"/>
  <c r="AB72"/>
  <c r="AB69" s="1"/>
  <c r="AB66" s="1"/>
  <c r="Z72"/>
  <c r="Z69" s="1"/>
  <c r="Z66" s="1"/>
  <c r="X72"/>
  <c r="X69" s="1"/>
  <c r="X66" s="1"/>
  <c r="R72"/>
  <c r="R69" s="1"/>
  <c r="R66" s="1"/>
  <c r="P72"/>
  <c r="P69" s="1"/>
  <c r="P66" s="1"/>
  <c r="N72"/>
  <c r="N69" s="1"/>
  <c r="N66" s="1"/>
  <c r="L72"/>
  <c r="L69" s="1"/>
  <c r="L66" s="1"/>
  <c r="J72"/>
  <c r="J69" s="1"/>
  <c r="J66" s="1"/>
  <c r="H72"/>
  <c r="AD41"/>
  <c r="AD38" s="1"/>
  <c r="AD36" s="1"/>
  <c r="AB41"/>
  <c r="AB38" s="1"/>
  <c r="AB36" s="1"/>
  <c r="Z41"/>
  <c r="Z38" s="1"/>
  <c r="Z36" s="1"/>
  <c r="X41"/>
  <c r="X38" s="1"/>
  <c r="X36" s="1"/>
  <c r="V41"/>
  <c r="V38" s="1"/>
  <c r="V36" s="1"/>
  <c r="T41"/>
  <c r="T38" s="1"/>
  <c r="T36" s="1"/>
  <c r="R38"/>
  <c r="R36" s="1"/>
  <c r="P38"/>
  <c r="P36" s="1"/>
  <c r="N38"/>
  <c r="N36" s="1"/>
  <c r="L38"/>
  <c r="L36" s="1"/>
  <c r="J41"/>
  <c r="J38" s="1"/>
  <c r="J36" s="1"/>
  <c r="H41"/>
  <c r="B40"/>
  <c r="B39"/>
  <c r="X35"/>
  <c r="X84" s="1"/>
  <c r="T35"/>
  <c r="T84" s="1"/>
  <c r="R35"/>
  <c r="R84" s="1"/>
  <c r="L35"/>
  <c r="X33"/>
  <c r="T33"/>
  <c r="R33"/>
  <c r="L33"/>
  <c r="AD26"/>
  <c r="AD23" s="1"/>
  <c r="AB26"/>
  <c r="AB23" s="1"/>
  <c r="Z26"/>
  <c r="Z23" s="1"/>
  <c r="X26"/>
  <c r="X23" s="1"/>
  <c r="V26"/>
  <c r="V23" s="1"/>
  <c r="R26"/>
  <c r="R23" s="1"/>
  <c r="P26"/>
  <c r="P23" s="1"/>
  <c r="N26"/>
  <c r="N23" s="1"/>
  <c r="L26"/>
  <c r="L23" s="1"/>
  <c r="J26"/>
  <c r="J23" s="1"/>
  <c r="H26"/>
  <c r="C31" l="1"/>
  <c r="G31" s="1"/>
  <c r="B33"/>
  <c r="G35"/>
  <c r="C38"/>
  <c r="C36" s="1"/>
  <c r="G72"/>
  <c r="C23"/>
  <c r="G33"/>
  <c r="N76"/>
  <c r="N73" s="1"/>
  <c r="B79"/>
  <c r="B76" s="1"/>
  <c r="B73" s="1"/>
  <c r="C76"/>
  <c r="C73" s="1"/>
  <c r="B31"/>
  <c r="L31"/>
  <c r="L82"/>
  <c r="G82" s="1"/>
  <c r="T31"/>
  <c r="T82"/>
  <c r="B35"/>
  <c r="L84"/>
  <c r="B41"/>
  <c r="B38" s="1"/>
  <c r="B36" s="1"/>
  <c r="C69"/>
  <c r="B72"/>
  <c r="B69" s="1"/>
  <c r="B66" s="1"/>
  <c r="F66" s="1"/>
  <c r="L76"/>
  <c r="L73" s="1"/>
  <c r="R31"/>
  <c r="R82"/>
  <c r="X31"/>
  <c r="X82"/>
  <c r="H69"/>
  <c r="H66" s="1"/>
  <c r="H76"/>
  <c r="H73" s="1"/>
  <c r="H38"/>
  <c r="H36" s="1"/>
  <c r="H23"/>
  <c r="AD18"/>
  <c r="AB18"/>
  <c r="Z18"/>
  <c r="X18"/>
  <c r="V18"/>
  <c r="R18"/>
  <c r="P18"/>
  <c r="N18"/>
  <c r="L18"/>
  <c r="J18"/>
  <c r="H21"/>
  <c r="AD16"/>
  <c r="AD83" s="1"/>
  <c r="AD80" s="1"/>
  <c r="AB16"/>
  <c r="AB83" s="1"/>
  <c r="AB80" s="1"/>
  <c r="Z16"/>
  <c r="Z83" s="1"/>
  <c r="Z80" s="1"/>
  <c r="X16"/>
  <c r="V16"/>
  <c r="V80" s="1"/>
  <c r="T16"/>
  <c r="T83" s="1"/>
  <c r="R16"/>
  <c r="R83" s="1"/>
  <c r="C83" s="1"/>
  <c r="P16"/>
  <c r="N16"/>
  <c r="N83" s="1"/>
  <c r="L16"/>
  <c r="J16"/>
  <c r="H16"/>
  <c r="G41" l="1"/>
  <c r="G26"/>
  <c r="R80"/>
  <c r="G79"/>
  <c r="G23"/>
  <c r="B84"/>
  <c r="G84"/>
  <c r="F82"/>
  <c r="N80"/>
  <c r="J13"/>
  <c r="J11" s="1"/>
  <c r="B16"/>
  <c r="F16" s="1"/>
  <c r="H83"/>
  <c r="L13"/>
  <c r="P13"/>
  <c r="T80"/>
  <c r="X13"/>
  <c r="C18"/>
  <c r="G18" s="1"/>
  <c r="H18"/>
  <c r="F41"/>
  <c r="H13"/>
  <c r="L11"/>
  <c r="T13"/>
  <c r="AB13"/>
  <c r="G21"/>
  <c r="N13"/>
  <c r="R13"/>
  <c r="V13"/>
  <c r="Z13"/>
  <c r="AD13"/>
  <c r="X46"/>
  <c r="X83" s="1"/>
  <c r="X80" s="1"/>
  <c r="L46"/>
  <c r="L43" s="1"/>
  <c r="J46"/>
  <c r="X11"/>
  <c r="H28"/>
  <c r="P29"/>
  <c r="P83" s="1"/>
  <c r="P80" s="1"/>
  <c r="F33"/>
  <c r="F35"/>
  <c r="B46" l="1"/>
  <c r="B43" s="1"/>
  <c r="H11"/>
  <c r="C11" s="1"/>
  <c r="B13"/>
  <c r="J83"/>
  <c r="L83"/>
  <c r="L80" s="1"/>
  <c r="H80"/>
  <c r="C13"/>
  <c r="G13" s="1"/>
  <c r="G16"/>
  <c r="X43"/>
  <c r="B29"/>
  <c r="F29" s="1"/>
  <c r="P28"/>
  <c r="P11" s="1"/>
  <c r="J43"/>
  <c r="AD11"/>
  <c r="Z11"/>
  <c r="V11"/>
  <c r="R11"/>
  <c r="N11"/>
  <c r="AB11"/>
  <c r="F13"/>
  <c r="F31"/>
  <c r="T11"/>
  <c r="F46" l="1"/>
  <c r="B83"/>
  <c r="B80" s="1"/>
  <c r="J80"/>
  <c r="C43"/>
  <c r="G43" s="1"/>
  <c r="G46"/>
  <c r="B11"/>
  <c r="F11" s="1"/>
  <c r="G11"/>
  <c r="G38"/>
  <c r="G36" s="1"/>
  <c r="G76"/>
  <c r="G73" s="1"/>
  <c r="F72"/>
  <c r="F79"/>
  <c r="C80" l="1"/>
  <c r="G83"/>
  <c r="F83"/>
  <c r="F38"/>
  <c r="F36" s="1"/>
  <c r="F43"/>
  <c r="B26" l="1"/>
  <c r="F26" l="1"/>
  <c r="B23"/>
  <c r="B21"/>
  <c r="F21" s="1"/>
  <c r="F76" l="1"/>
  <c r="F73" s="1"/>
  <c r="B28"/>
  <c r="F28" s="1"/>
  <c r="C66" l="1"/>
  <c r="G66" s="1"/>
  <c r="G69"/>
  <c r="F69" l="1"/>
  <c r="B19"/>
  <c r="F23" l="1"/>
  <c r="B20" l="1"/>
  <c r="B18" l="1"/>
  <c r="F18" s="1"/>
  <c r="G80"/>
  <c r="F84" l="1"/>
  <c r="F85"/>
  <c r="F80"/>
</calcChain>
</file>

<file path=xl/sharedStrings.xml><?xml version="1.0" encoding="utf-8"?>
<sst xmlns="http://schemas.openxmlformats.org/spreadsheetml/2006/main" count="144" uniqueCount="75">
  <si>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</si>
  <si>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</si>
  <si>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</si>
  <si>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</si>
  <si>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</si>
  <si>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</si>
  <si>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</si>
  <si>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</si>
  <si>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</si>
  <si>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</si>
  <si>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</si>
  <si>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</si>
  <si>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</si>
  <si>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</si>
  <si>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</si>
  <si>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</si>
  <si>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</si>
  <si>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</si>
  <si>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</si>
  <si>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</si>
  <si>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</si>
  <si>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</si>
  <si>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</si>
  <si>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</si>
  <si>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</si>
  <si>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</si>
  <si>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</si>
  <si>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</si>
  <si>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</si>
  <si>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</si>
  <si>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</si>
  <si>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</si>
  <si>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</si>
  <si>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</si>
  <si>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</si>
  <si>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</si>
  <si>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</si>
  <si>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</si>
  <si>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</si>
  <si>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</si>
  <si>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</si>
  <si>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</si>
  <si>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</si>
  <si>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</si>
  <si>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</si>
  <si>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</si>
  <si>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</si>
  <si>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</si>
  <si>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</si>
  <si>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</si>
  <si>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</si>
  <si>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т.ч. бюджет города Когалыма в части софинансирования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</si>
  <si>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</si>
  <si>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</si>
  <si>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</si>
  <si>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</si>
  <si>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Начальник Управления культуры, спорта и молодежной политики _______________________________Л.А.Юрьева</t>
  </si>
  <si>
    <t>На отчетную дату по данному объекту заключен контракт от 05.04.2019 №19ДО292 по реконструкции объекта на сумму 7 000,0 тыс. руб. На основании контракта перечислен аванс в размере 50%. Окончание работ 10.12.2019.</t>
  </si>
  <si>
    <t xml:space="preserve">В марте месяце произведена оплата за приобретение товаров (лыжи беговые, ботинки и т.д.) на сумму 23,49 тыс. руб., согласно договора № 19ДС- 26 от 19.02.2019 г. </t>
  </si>
  <si>
    <t>1.1.4. "Организация работы по присвоению спортивных разрядов, квалификационных категорий"</t>
  </si>
  <si>
    <t>В мае месяце 2019 года запланирована сумма в размере 400 тыс. рублей на приобреение тренажеров для лиц с ограниченной возможностью, израсходовано 189,00 тыс. руб. (вертикальный велотренажер договор № 19 ДС-92 от 26.04.2019 г.), остаток денежных средств в размере 211, 00 тыс. руб. запланирован на июнь 2019 г. после поставки товара. Сумма в размере 445,49 тыс. руб. израсходована в полном объеме на приобретение спорт.инвентаря (лыжи беговые, ботинки и т.д., согласно договора № 19 ДС- 26 от 19.02.2019 г. ) Остаток денежных средств в размере 5 000 тыс. руб. 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акциона, в результате чего заключен договор № 09/05/19-Зк с ООО «Компания УРАЛКАМ» п.3.1  3.1. срок поставки Товара – октябрь 2019 года.</t>
  </si>
  <si>
    <t>1.4. Региональный проект «Создание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 (Спорт – норма жизни) (2)</t>
  </si>
  <si>
    <t xml:space="preserve">1.4.3.Устройство спортивной площадки «Воркаут» </t>
  </si>
  <si>
    <t xml:space="preserve">В марте месяце перечислена субсидия из бюджета г.Когалыма городской общественной организации «Когалымский Боксерский Клуб Патриот»  в размере 137,90 тыс. руб.В мае месяце перечислена субсидия из бюджета г.Когалыма МОО "Федерация лыжных гонок г. Когалыма"  в размере 46,50 тыс. руб. </t>
  </si>
  <si>
    <t>В мае месяце приобретены квалификационные книжки (спортивный судья), знаки спортивного судьи. Договор  поставки №204 от 06.05.2019г.</t>
  </si>
  <si>
    <t>В марте месяце произведена оплата за приобретение товаров (лыжи беговые, ботинки и т.д.) на сумму 23,49 тыс. руб., согласно договора № 19ДС- 26 от 19.02.2019 г.  Остаток денежных средств в размере 2 000 тыс. руб.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акциона, в результате чего заключен договор № 09/05/19-Зк с ООО «Компания УРАЛКАМ» п.3.1  3.1. срок поставки Товара – октябрь 2019 года.      В мае месяце запланирована сумма в размере  659,83 тыс.руб. израсходовано 793,14 тыс. руб. на приобретение оборудования и инвентаря для увеличения уровня безопасности жителей города на занятиях лыжными гонками согласно договоров № 19 ДС-84 от 23.04.2019 г., 19 ДС-82 от 23.04.2019 г.</t>
  </si>
  <si>
    <t>Кассовый расход сформировался меньше планового в связи с образованием вакантных ставок, листов временной нетрудоспособности.   Произведена оплата труда персонала и начисления на выплаты по оплате труда, проезда в отпуск и обратно, пособия по временной нетрудоспособности, приобретены хозяйственные товары, медецинские услуги.</t>
  </si>
  <si>
    <t xml:space="preserve">В феврале месяце произведена оплата за поставку поощрительных призов.                                      В марте месяце перерасход денежных средств связан  с оплатой по договрам ГПХ в марте месяце за февраль 2019 г.                                                                                                                                                В мае месяце 2019 года запланирована сумма в размере 25,60 тыс. руб., израсходовано 52,48 тыс.руб.  Перерасход денежных средств в размере 26,88 тыс. рублей в связи с оплатой по договорам ГПХ за апрель месяц 2019 год. 
 </t>
  </si>
  <si>
    <t>На июнь месяц денежные средства не запланированы.</t>
  </si>
  <si>
    <t>На отчетную дату по данному объекту ведется исполнение следующих контрактов:         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услуг по 12.04.2019.   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 Работы ведутся с нарушением сроков.</t>
  </si>
  <si>
    <t>План на 01.07.2018</t>
  </si>
  <si>
    <t>Профинансировано на 01.07.2019</t>
  </si>
  <si>
    <t>Кассовый расход на 01.07.2019</t>
  </si>
  <si>
    <t>Приобретены поощрительные призы и наградная атрибутика для победителей соревнований, договор 19 ДС-3 от 15.01.2019 г. с ООО "Восход".</t>
  </si>
  <si>
    <t>Ответственный за составление сетевого графика: зав.сектором СП_____________________О.В.Мягкова (тел.: 93-628)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</si>
</sst>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5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12" fillId="4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wrapText="1"/>
    </xf>
    <xf numFmtId="0" fontId="1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14" fillId="5" borderId="1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left" vertical="center" wrapText="1"/>
    </xf>
    <xf numFmtId="4" fontId="14" fillId="0" borderId="8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  <color rgb="FFFFFF99"/>
      <color rgb="FFFF99FF"/>
      <color rgb="FF66CC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N28" sqref="N27:N28"/>
    </sheetView>
  </sheetViews>
  <sheetFormatPr defaultColWidth="9.140625" defaultRowHeight="12.75"/>
  <cols>
    <col min="1" max="7" width="9.140625" style="1"/>
    <col min="8" max="8" width="0" style="1" hidden="1" customWidth="1"/>
    <col min="9" max="16384" width="9.140625" style="1"/>
  </cols>
  <sheetData>
    <row r="1" spans="1:14" ht="18.75">
      <c r="A1" s="87"/>
      <c r="B1" s="87"/>
    </row>
    <row r="10" spans="1:14" ht="45" customHeight="1">
      <c r="A10" s="89" t="s">
        <v>17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6.5" customHeight="1">
      <c r="A11" s="88"/>
      <c r="B11" s="88"/>
      <c r="C11" s="88"/>
      <c r="D11" s="88"/>
      <c r="E11" s="88"/>
      <c r="F11" s="88"/>
      <c r="G11" s="88"/>
      <c r="H11" s="88"/>
      <c r="I11" s="88"/>
    </row>
    <row r="13" spans="1:14" ht="27" customHeight="1">
      <c r="A13" s="84" t="s">
        <v>28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27" customHeight="1">
      <c r="A14" s="84" t="s">
        <v>29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40.5" customHeight="1">
      <c r="A15" s="85" t="s">
        <v>23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46" spans="1:9" ht="16.5">
      <c r="A46" s="86"/>
      <c r="B46" s="86"/>
      <c r="C46" s="86"/>
      <c r="D46" s="86"/>
      <c r="E46" s="86"/>
      <c r="F46" s="86"/>
      <c r="G46" s="86"/>
      <c r="H46" s="86"/>
      <c r="I46" s="86"/>
    </row>
    <row r="47" spans="1:9" ht="16.5">
      <c r="A47" s="86"/>
      <c r="B47" s="86"/>
      <c r="C47" s="86"/>
      <c r="D47" s="86"/>
      <c r="E47" s="86"/>
      <c r="F47" s="86"/>
      <c r="G47" s="86"/>
      <c r="H47" s="86"/>
      <c r="I47" s="86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465"/>
  <sheetViews>
    <sheetView view="pageBreakPreview" topLeftCell="C1" zoomScale="70" zoomScaleNormal="70" zoomScaleSheetLayoutView="70" workbookViewId="0">
      <pane ySplit="7" topLeftCell="A32" activePane="bottomLeft" state="frozen"/>
      <selection pane="bottomLeft" activeCell="U34" sqref="U34"/>
    </sheetView>
  </sheetViews>
  <sheetFormatPr defaultColWidth="35.7109375" defaultRowHeight="15.75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>
      <c r="A2" s="90" t="s">
        <v>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82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6" ht="21.75" customHeight="1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7"/>
      <c r="O3" s="17"/>
      <c r="P3" s="17"/>
      <c r="Q3" s="17"/>
      <c r="R3" s="17"/>
      <c r="S3" s="17"/>
      <c r="T3" s="17"/>
      <c r="U3" s="17"/>
      <c r="V3" s="17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6" ht="16.5" customHeight="1">
      <c r="A4" s="34"/>
      <c r="B4" s="16"/>
      <c r="C4" s="16"/>
      <c r="D4" s="16"/>
      <c r="E4" s="62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63"/>
      <c r="AB4" s="36"/>
      <c r="AC4" s="63"/>
      <c r="AD4" s="43"/>
      <c r="AE4" s="36"/>
      <c r="AF4" s="17"/>
      <c r="AG4" s="17"/>
    </row>
    <row r="5" spans="1:36" ht="19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41"/>
      <c r="T5" s="99"/>
      <c r="U5" s="99"/>
      <c r="V5" s="99"/>
      <c r="W5" s="99"/>
      <c r="X5" s="99"/>
      <c r="Y5" s="99"/>
      <c r="Z5" s="99"/>
      <c r="AA5" s="99"/>
      <c r="AB5" s="99"/>
      <c r="AC5" s="42"/>
      <c r="AD5" s="42"/>
      <c r="AE5" s="45" t="s">
        <v>30</v>
      </c>
      <c r="AF5" s="49"/>
      <c r="AG5" s="17"/>
    </row>
    <row r="6" spans="1:36" s="3" customFormat="1" ht="35.25" customHeight="1">
      <c r="A6" s="98" t="s">
        <v>27</v>
      </c>
      <c r="B6" s="92" t="s">
        <v>31</v>
      </c>
      <c r="C6" s="92" t="s">
        <v>70</v>
      </c>
      <c r="D6" s="92" t="s">
        <v>71</v>
      </c>
      <c r="E6" s="92" t="s">
        <v>72</v>
      </c>
      <c r="F6" s="94" t="s">
        <v>43</v>
      </c>
      <c r="G6" s="95"/>
      <c r="H6" s="94" t="s">
        <v>0</v>
      </c>
      <c r="I6" s="95"/>
      <c r="J6" s="94" t="s">
        <v>1</v>
      </c>
      <c r="K6" s="95"/>
      <c r="L6" s="94" t="s">
        <v>2</v>
      </c>
      <c r="M6" s="95"/>
      <c r="N6" s="94" t="s">
        <v>3</v>
      </c>
      <c r="O6" s="95"/>
      <c r="P6" s="94" t="s">
        <v>4</v>
      </c>
      <c r="Q6" s="95"/>
      <c r="R6" s="94" t="s">
        <v>5</v>
      </c>
      <c r="S6" s="95"/>
      <c r="T6" s="94" t="s">
        <v>6</v>
      </c>
      <c r="U6" s="95"/>
      <c r="V6" s="94" t="s">
        <v>7</v>
      </c>
      <c r="W6" s="95"/>
      <c r="X6" s="94" t="s">
        <v>8</v>
      </c>
      <c r="Y6" s="95"/>
      <c r="Z6" s="94" t="s">
        <v>9</v>
      </c>
      <c r="AA6" s="95"/>
      <c r="AB6" s="94" t="s">
        <v>10</v>
      </c>
      <c r="AC6" s="95"/>
      <c r="AD6" s="94" t="s">
        <v>11</v>
      </c>
      <c r="AE6" s="95"/>
      <c r="AF6" s="115" t="s">
        <v>47</v>
      </c>
      <c r="AG6" s="19"/>
    </row>
    <row r="7" spans="1:36" s="3" customFormat="1" ht="39.75" customHeight="1">
      <c r="A7" s="98"/>
      <c r="B7" s="93"/>
      <c r="C7" s="93"/>
      <c r="D7" s="93"/>
      <c r="E7" s="93"/>
      <c r="F7" s="18" t="s">
        <v>44</v>
      </c>
      <c r="G7" s="18" t="s">
        <v>45</v>
      </c>
      <c r="H7" s="18" t="s">
        <v>12</v>
      </c>
      <c r="I7" s="18" t="s">
        <v>46</v>
      </c>
      <c r="J7" s="18" t="s">
        <v>12</v>
      </c>
      <c r="K7" s="18" t="s">
        <v>46</v>
      </c>
      <c r="L7" s="18" t="s">
        <v>12</v>
      </c>
      <c r="M7" s="18" t="s">
        <v>46</v>
      </c>
      <c r="N7" s="18" t="s">
        <v>12</v>
      </c>
      <c r="O7" s="18" t="s">
        <v>46</v>
      </c>
      <c r="P7" s="18" t="s">
        <v>12</v>
      </c>
      <c r="Q7" s="18" t="s">
        <v>46</v>
      </c>
      <c r="R7" s="18" t="s">
        <v>12</v>
      </c>
      <c r="S7" s="18" t="s">
        <v>46</v>
      </c>
      <c r="T7" s="18" t="s">
        <v>12</v>
      </c>
      <c r="U7" s="18" t="s">
        <v>46</v>
      </c>
      <c r="V7" s="18" t="s">
        <v>24</v>
      </c>
      <c r="W7" s="18" t="s">
        <v>46</v>
      </c>
      <c r="X7" s="18" t="s">
        <v>12</v>
      </c>
      <c r="Y7" s="18" t="s">
        <v>46</v>
      </c>
      <c r="Z7" s="46" t="s">
        <v>12</v>
      </c>
      <c r="AA7" s="18" t="s">
        <v>46</v>
      </c>
      <c r="AB7" s="46" t="s">
        <v>12</v>
      </c>
      <c r="AC7" s="18" t="s">
        <v>46</v>
      </c>
      <c r="AD7" s="46" t="s">
        <v>12</v>
      </c>
      <c r="AE7" s="18" t="s">
        <v>46</v>
      </c>
      <c r="AF7" s="116"/>
      <c r="AG7" s="19"/>
    </row>
    <row r="8" spans="1:36" s="3" customFormat="1" ht="25.5" customHeight="1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>
      <c r="A9" s="103" t="s">
        <v>32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47"/>
      <c r="AG9" s="22"/>
      <c r="AH9" s="14"/>
      <c r="AI9" s="14"/>
      <c r="AJ9" s="14"/>
    </row>
    <row r="10" spans="1:36" s="4" customFormat="1" ht="42.75" customHeight="1">
      <c r="A10" s="103" t="s">
        <v>53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47"/>
      <c r="AG10" s="22"/>
      <c r="AH10" s="14"/>
      <c r="AI10" s="14"/>
      <c r="AJ10" s="14"/>
    </row>
    <row r="11" spans="1:36" s="4" customFormat="1" ht="42" customHeight="1">
      <c r="A11" s="57" t="s">
        <v>35</v>
      </c>
      <c r="B11" s="23">
        <f>H11+J11+L11+N11+P11+R11+T11+V11+X11+Z11+AB11+AD11</f>
        <v>178565.04</v>
      </c>
      <c r="C11" s="23">
        <f>H11</f>
        <v>13087.994999999999</v>
      </c>
      <c r="D11" s="23">
        <f>E11</f>
        <v>87843.5</v>
      </c>
      <c r="E11" s="23">
        <f>I11+K11+M11+O11+Q11+S11+U11+W11+Y11+AA11+AC11+AE11</f>
        <v>87843.5</v>
      </c>
      <c r="F11" s="23">
        <f>E11/B11*100</f>
        <v>49.194119968836006</v>
      </c>
      <c r="G11" s="23">
        <f>E11/C11*100</f>
        <v>671.17614271704724</v>
      </c>
      <c r="H11" s="23">
        <f>H13+H18+H23+H28+H31</f>
        <v>13087.994999999999</v>
      </c>
      <c r="I11" s="23">
        <f>I13+I18+I23+I28+I31</f>
        <v>6750.16</v>
      </c>
      <c r="J11" s="23">
        <f t="shared" ref="J11:AE11" si="0">J13+J18+J23+J28+J31</f>
        <v>14536.478999999999</v>
      </c>
      <c r="K11" s="23">
        <f t="shared" si="0"/>
        <v>14661.01</v>
      </c>
      <c r="L11" s="23">
        <f t="shared" si="0"/>
        <v>12476.148999999999</v>
      </c>
      <c r="M11" s="23">
        <f t="shared" si="0"/>
        <v>11862.56</v>
      </c>
      <c r="N11" s="23">
        <f t="shared" si="0"/>
        <v>23754.733</v>
      </c>
      <c r="O11" s="23">
        <f t="shared" si="0"/>
        <v>14337.76</v>
      </c>
      <c r="P11" s="23">
        <f t="shared" si="0"/>
        <v>25841.67</v>
      </c>
      <c r="Q11" s="23">
        <f t="shared" si="0"/>
        <v>20555.77</v>
      </c>
      <c r="R11" s="23">
        <f t="shared" si="0"/>
        <v>20417.016000000003</v>
      </c>
      <c r="S11" s="23">
        <f t="shared" si="0"/>
        <v>19676.240000000002</v>
      </c>
      <c r="T11" s="23">
        <f t="shared" si="0"/>
        <v>12574.699000000001</v>
      </c>
      <c r="U11" s="23">
        <f t="shared" si="0"/>
        <v>0</v>
      </c>
      <c r="V11" s="23">
        <f t="shared" si="0"/>
        <v>9542.8009999999995</v>
      </c>
      <c r="W11" s="23">
        <f t="shared" si="0"/>
        <v>0</v>
      </c>
      <c r="X11" s="23">
        <f t="shared" si="0"/>
        <v>9356.4060000000009</v>
      </c>
      <c r="Y11" s="23">
        <f t="shared" si="0"/>
        <v>0</v>
      </c>
      <c r="Z11" s="23">
        <f t="shared" si="0"/>
        <v>13259.466</v>
      </c>
      <c r="AA11" s="23">
        <f t="shared" si="0"/>
        <v>0</v>
      </c>
      <c r="AB11" s="23">
        <f t="shared" si="0"/>
        <v>12184.181</v>
      </c>
      <c r="AC11" s="23">
        <f t="shared" si="0"/>
        <v>0</v>
      </c>
      <c r="AD11" s="23">
        <f t="shared" si="0"/>
        <v>11533.445000000002</v>
      </c>
      <c r="AE11" s="23">
        <f t="shared" si="0"/>
        <v>0</v>
      </c>
      <c r="AF11" s="109" t="s">
        <v>73</v>
      </c>
      <c r="AG11" s="22"/>
      <c r="AH11" s="114"/>
      <c r="AI11" s="14"/>
      <c r="AJ11" s="14"/>
    </row>
    <row r="12" spans="1:36" s="4" customFormat="1" ht="42.75" customHeight="1">
      <c r="A12" s="57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10"/>
      <c r="AG12" s="22"/>
      <c r="AH12" s="114"/>
      <c r="AI12" s="14"/>
      <c r="AJ12" s="14"/>
    </row>
    <row r="13" spans="1:36" s="5" customFormat="1" ht="24.75" customHeight="1">
      <c r="A13" s="25" t="s">
        <v>15</v>
      </c>
      <c r="B13" s="23">
        <f>H13+J13+L13+N13+P13+R13+T13+V13+X13+Z13+AB13+AD13</f>
        <v>3283.0999999999995</v>
      </c>
      <c r="C13" s="23">
        <f>C16</f>
        <v>1749.1989999999998</v>
      </c>
      <c r="D13" s="23">
        <f>E13</f>
        <v>1425.96</v>
      </c>
      <c r="E13" s="23">
        <f>E14+E15+E16</f>
        <v>1425.96</v>
      </c>
      <c r="F13" s="23">
        <f t="shared" ref="F13:F85" si="1">E13/B13*100</f>
        <v>43.433340440437398</v>
      </c>
      <c r="G13" s="23">
        <f t="shared" ref="G13:G85" si="2">E13/C13*100</f>
        <v>81.520741779523092</v>
      </c>
      <c r="H13" s="21">
        <f>H14+H15+H16</f>
        <v>87.5</v>
      </c>
      <c r="I13" s="21">
        <f t="shared" ref="I13:AE13" si="3">I14+I15+I16</f>
        <v>67.5</v>
      </c>
      <c r="J13" s="21">
        <f t="shared" si="3"/>
        <v>555.61599999999999</v>
      </c>
      <c r="K13" s="21">
        <f t="shared" si="3"/>
        <v>73.52</v>
      </c>
      <c r="L13" s="21">
        <f t="shared" si="3"/>
        <v>549.45299999999997</v>
      </c>
      <c r="M13" s="21">
        <f t="shared" si="3"/>
        <v>556.84</v>
      </c>
      <c r="N13" s="21">
        <f t="shared" si="3"/>
        <v>167.02199999999999</v>
      </c>
      <c r="O13" s="21">
        <f t="shared" si="3"/>
        <v>410.06</v>
      </c>
      <c r="P13" s="21">
        <f t="shared" si="3"/>
        <v>322.89499999999998</v>
      </c>
      <c r="Q13" s="21">
        <f t="shared" si="3"/>
        <v>248.8</v>
      </c>
      <c r="R13" s="21">
        <f t="shared" si="3"/>
        <v>66.712999999999994</v>
      </c>
      <c r="S13" s="21">
        <f t="shared" si="3"/>
        <v>69.239999999999995</v>
      </c>
      <c r="T13" s="21">
        <f t="shared" si="3"/>
        <v>14.134</v>
      </c>
      <c r="U13" s="21">
        <f t="shared" si="3"/>
        <v>0</v>
      </c>
      <c r="V13" s="21">
        <f t="shared" si="3"/>
        <v>457.72500000000002</v>
      </c>
      <c r="W13" s="21">
        <f t="shared" si="3"/>
        <v>0</v>
      </c>
      <c r="X13" s="21">
        <f t="shared" si="3"/>
        <v>66.798000000000002</v>
      </c>
      <c r="Y13" s="21">
        <f t="shared" si="3"/>
        <v>0</v>
      </c>
      <c r="Z13" s="21">
        <f t="shared" si="3"/>
        <v>369.64499999999998</v>
      </c>
      <c r="AA13" s="21">
        <f t="shared" si="3"/>
        <v>0</v>
      </c>
      <c r="AB13" s="21">
        <f t="shared" si="3"/>
        <v>374.01499999999999</v>
      </c>
      <c r="AC13" s="21">
        <f t="shared" si="3"/>
        <v>0</v>
      </c>
      <c r="AD13" s="21">
        <f t="shared" si="3"/>
        <v>251.584</v>
      </c>
      <c r="AE13" s="21">
        <f t="shared" si="3"/>
        <v>0</v>
      </c>
      <c r="AF13" s="110"/>
      <c r="AG13" s="26"/>
      <c r="AH13" s="114"/>
      <c r="AI13" s="14"/>
      <c r="AJ13" s="14"/>
    </row>
    <row r="14" spans="1:36" s="5" customFormat="1" ht="28.5" customHeight="1">
      <c r="A14" s="28" t="s">
        <v>34</v>
      </c>
      <c r="B14" s="24">
        <f>H14+J14+L14+N14+P14+R14+T14+V14+X14+Z14+AB14+AD14</f>
        <v>0</v>
      </c>
      <c r="C14" s="24">
        <f>H14+J14+L14+N14+P14+R14</f>
        <v>0</v>
      </c>
      <c r="D14" s="24">
        <f t="shared" ref="D14:D78" si="4">E14</f>
        <v>0</v>
      </c>
      <c r="E14" s="24">
        <f t="shared" ref="E14:E84" si="5">I14+K14+M14+O14+Q14+S14+U14+W14+Y14+AA14+AC14+AE14</f>
        <v>0</v>
      </c>
      <c r="F14" s="24">
        <v>0</v>
      </c>
      <c r="G14" s="24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/>
      <c r="V14" s="27">
        <v>0</v>
      </c>
      <c r="W14" s="27"/>
      <c r="X14" s="27">
        <v>0</v>
      </c>
      <c r="Y14" s="27"/>
      <c r="Z14" s="27">
        <v>0</v>
      </c>
      <c r="AA14" s="27"/>
      <c r="AB14" s="27">
        <v>0</v>
      </c>
      <c r="AC14" s="27"/>
      <c r="AD14" s="27">
        <v>0</v>
      </c>
      <c r="AE14" s="51"/>
      <c r="AF14" s="110"/>
      <c r="AG14" s="26"/>
      <c r="AH14" s="114"/>
      <c r="AI14" s="14"/>
      <c r="AJ14" s="14"/>
    </row>
    <row r="15" spans="1:36" s="4" customFormat="1" ht="30" customHeight="1">
      <c r="A15" s="67" t="s">
        <v>13</v>
      </c>
      <c r="B15" s="24">
        <f t="shared" ref="B15:B16" si="6">H15+J15+L15+N15+P15+R15+T15+V15+X15+Z15+AB15+AD15</f>
        <v>0</v>
      </c>
      <c r="C15" s="24">
        <f t="shared" ref="C15:C16" si="7">H15+J15+L15+N15+P15+R15</f>
        <v>0</v>
      </c>
      <c r="D15" s="24">
        <f t="shared" si="4"/>
        <v>0</v>
      </c>
      <c r="E15" s="24">
        <f t="shared" si="5"/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/>
      <c r="V15" s="27">
        <v>0</v>
      </c>
      <c r="W15" s="27"/>
      <c r="X15" s="27">
        <v>0</v>
      </c>
      <c r="Y15" s="27"/>
      <c r="Z15" s="27">
        <v>0</v>
      </c>
      <c r="AA15" s="27"/>
      <c r="AB15" s="27">
        <v>0</v>
      </c>
      <c r="AC15" s="27"/>
      <c r="AD15" s="27">
        <v>0</v>
      </c>
      <c r="AE15" s="50"/>
      <c r="AF15" s="110"/>
      <c r="AG15" s="22"/>
      <c r="AH15" s="114"/>
      <c r="AI15" s="14"/>
      <c r="AJ15" s="14"/>
    </row>
    <row r="16" spans="1:36" s="4" customFormat="1" ht="37.5" customHeight="1">
      <c r="A16" s="67" t="s">
        <v>14</v>
      </c>
      <c r="B16" s="24">
        <f t="shared" si="6"/>
        <v>3283.0999999999995</v>
      </c>
      <c r="C16" s="24">
        <f t="shared" si="7"/>
        <v>1749.1989999999998</v>
      </c>
      <c r="D16" s="24">
        <f>E16</f>
        <v>1425.96</v>
      </c>
      <c r="E16" s="24">
        <f>I16+K16+M16+O16+Q16+S16+U16+W16+Y16+AA16+AC16+AE16</f>
        <v>1425.96</v>
      </c>
      <c r="F16" s="24">
        <f t="shared" si="1"/>
        <v>43.433340440437398</v>
      </c>
      <c r="G16" s="24">
        <f t="shared" si="2"/>
        <v>81.520741779523092</v>
      </c>
      <c r="H16" s="27">
        <f>87500/1000</f>
        <v>87.5</v>
      </c>
      <c r="I16" s="27">
        <v>67.5</v>
      </c>
      <c r="J16" s="27">
        <f>555616/1000</f>
        <v>555.61599999999999</v>
      </c>
      <c r="K16" s="27">
        <v>73.52</v>
      </c>
      <c r="L16" s="27">
        <f>549453/1000</f>
        <v>549.45299999999997</v>
      </c>
      <c r="M16" s="27">
        <v>556.84</v>
      </c>
      <c r="N16" s="27">
        <f>167022/1000</f>
        <v>167.02199999999999</v>
      </c>
      <c r="O16" s="27">
        <v>410.06</v>
      </c>
      <c r="P16" s="27">
        <f>322895/1000</f>
        <v>322.89499999999998</v>
      </c>
      <c r="Q16" s="27">
        <v>248.8</v>
      </c>
      <c r="R16" s="27">
        <f>66713/1000</f>
        <v>66.712999999999994</v>
      </c>
      <c r="S16" s="27">
        <v>69.239999999999995</v>
      </c>
      <c r="T16" s="27">
        <f>14134/1000</f>
        <v>14.134</v>
      </c>
      <c r="U16" s="27"/>
      <c r="V16" s="27">
        <f>457725/1000</f>
        <v>457.72500000000002</v>
      </c>
      <c r="W16" s="27"/>
      <c r="X16" s="27">
        <f>66798/1000</f>
        <v>66.798000000000002</v>
      </c>
      <c r="Y16" s="27"/>
      <c r="Z16" s="27">
        <f>369645/1000</f>
        <v>369.64499999999998</v>
      </c>
      <c r="AA16" s="27"/>
      <c r="AB16" s="27">
        <f>374015/1000</f>
        <v>374.01499999999999</v>
      </c>
      <c r="AC16" s="27"/>
      <c r="AD16" s="27">
        <f>251584/1000</f>
        <v>251.584</v>
      </c>
      <c r="AE16" s="50"/>
      <c r="AF16" s="111"/>
      <c r="AG16" s="22"/>
      <c r="AH16" s="114"/>
      <c r="AI16" s="14"/>
      <c r="AJ16" s="14"/>
    </row>
    <row r="17" spans="1:36" s="4" customFormat="1" ht="63.75" customHeight="1">
      <c r="A17" s="68" t="s">
        <v>20</v>
      </c>
      <c r="B17" s="27"/>
      <c r="C17" s="23"/>
      <c r="D17" s="23"/>
      <c r="E17" s="23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50"/>
      <c r="AF17" s="120"/>
      <c r="AG17" s="22"/>
      <c r="AH17" s="114"/>
      <c r="AI17" s="14"/>
      <c r="AJ17" s="14"/>
    </row>
    <row r="18" spans="1:36" s="4" customFormat="1" ht="45.75" customHeight="1">
      <c r="A18" s="69" t="s">
        <v>15</v>
      </c>
      <c r="B18" s="23">
        <f>B20+B21+B19</f>
        <v>165710.6</v>
      </c>
      <c r="C18" s="23">
        <f>C19+C20+C21</f>
        <v>98943.315999999992</v>
      </c>
      <c r="D18" s="23">
        <f>E18</f>
        <v>84441.709999999992</v>
      </c>
      <c r="E18" s="23">
        <f>E19+E20+E21</f>
        <v>84441.709999999992</v>
      </c>
      <c r="F18" s="23">
        <f t="shared" si="1"/>
        <v>50.957337671820625</v>
      </c>
      <c r="G18" s="23">
        <f t="shared" si="2"/>
        <v>85.34352133498335</v>
      </c>
      <c r="H18" s="21">
        <f>H20+H21+H19</f>
        <v>12968.373</v>
      </c>
      <c r="I18" s="21">
        <f t="shared" ref="I18:AE18" si="8">I20+I21+I19</f>
        <v>6682.66</v>
      </c>
      <c r="J18" s="21">
        <f t="shared" si="8"/>
        <v>13881.474</v>
      </c>
      <c r="K18" s="21">
        <f t="shared" si="8"/>
        <v>14569.49</v>
      </c>
      <c r="L18" s="21">
        <f t="shared" si="8"/>
        <v>11445.321</v>
      </c>
      <c r="M18" s="21">
        <f t="shared" si="8"/>
        <v>11262.56</v>
      </c>
      <c r="N18" s="21">
        <f t="shared" si="8"/>
        <v>16197.772000000001</v>
      </c>
      <c r="O18" s="21">
        <f t="shared" si="8"/>
        <v>13889.94</v>
      </c>
      <c r="P18" s="21">
        <f t="shared" si="8"/>
        <v>24426.940999999999</v>
      </c>
      <c r="Q18" s="21">
        <f t="shared" si="8"/>
        <v>18820.46</v>
      </c>
      <c r="R18" s="21">
        <f t="shared" si="8"/>
        <v>20023.435000000001</v>
      </c>
      <c r="S18" s="21">
        <f t="shared" si="8"/>
        <v>19216.599999999999</v>
      </c>
      <c r="T18" s="21">
        <f t="shared" si="8"/>
        <v>12559.304</v>
      </c>
      <c r="U18" s="21">
        <f t="shared" si="8"/>
        <v>0</v>
      </c>
      <c r="V18" s="21">
        <f t="shared" si="8"/>
        <v>9053.0759999999991</v>
      </c>
      <c r="W18" s="21">
        <f t="shared" si="8"/>
        <v>0</v>
      </c>
      <c r="X18" s="21">
        <f t="shared" si="8"/>
        <v>9245.4750000000004</v>
      </c>
      <c r="Y18" s="21">
        <f t="shared" si="8"/>
        <v>0</v>
      </c>
      <c r="Z18" s="21">
        <f t="shared" si="8"/>
        <v>12853.859</v>
      </c>
      <c r="AA18" s="21">
        <f t="shared" si="8"/>
        <v>0</v>
      </c>
      <c r="AB18" s="21">
        <f t="shared" si="8"/>
        <v>11791.146000000001</v>
      </c>
      <c r="AC18" s="21">
        <f t="shared" si="8"/>
        <v>0</v>
      </c>
      <c r="AD18" s="21">
        <f t="shared" si="8"/>
        <v>11264.424000000001</v>
      </c>
      <c r="AE18" s="21">
        <f t="shared" si="8"/>
        <v>0</v>
      </c>
      <c r="AF18" s="121"/>
      <c r="AG18" s="22"/>
      <c r="AH18" s="114"/>
      <c r="AI18" s="14"/>
      <c r="AJ18" s="14"/>
    </row>
    <row r="19" spans="1:36" s="4" customFormat="1" ht="26.25" customHeight="1">
      <c r="A19" s="60" t="s">
        <v>34</v>
      </c>
      <c r="B19" s="24">
        <f>AD19</f>
        <v>0</v>
      </c>
      <c r="C19" s="24">
        <f>H19+J19</f>
        <v>0</v>
      </c>
      <c r="D19" s="24">
        <f t="shared" si="4"/>
        <v>0</v>
      </c>
      <c r="E19" s="24">
        <f t="shared" si="5"/>
        <v>0</v>
      </c>
      <c r="F19" s="24">
        <v>0</v>
      </c>
      <c r="G19" s="24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/>
      <c r="V19" s="27">
        <v>0</v>
      </c>
      <c r="W19" s="27"/>
      <c r="X19" s="27">
        <v>0</v>
      </c>
      <c r="Y19" s="27"/>
      <c r="Z19" s="27">
        <v>0</v>
      </c>
      <c r="AA19" s="27"/>
      <c r="AB19" s="27">
        <v>0</v>
      </c>
      <c r="AC19" s="27"/>
      <c r="AD19" s="27">
        <v>0</v>
      </c>
      <c r="AE19" s="50"/>
      <c r="AF19" s="121"/>
      <c r="AG19" s="22"/>
      <c r="AH19" s="14"/>
      <c r="AI19" s="14"/>
      <c r="AJ19" s="14"/>
    </row>
    <row r="20" spans="1:36" s="4" customFormat="1" ht="44.25" customHeight="1">
      <c r="A20" s="67" t="s">
        <v>13</v>
      </c>
      <c r="B20" s="24">
        <f>H20+J20+L20+N20+P20+R20+T20+V20+X20+Z20+AB20+AD20</f>
        <v>0</v>
      </c>
      <c r="C20" s="24">
        <f>H20+J20+L20+N20+P20+R20</f>
        <v>0</v>
      </c>
      <c r="D20" s="24">
        <f t="shared" si="4"/>
        <v>0</v>
      </c>
      <c r="E20" s="24">
        <f t="shared" si="5"/>
        <v>0</v>
      </c>
      <c r="F20" s="24">
        <v>0</v>
      </c>
      <c r="G20" s="24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/>
      <c r="V20" s="27">
        <v>0</v>
      </c>
      <c r="W20" s="27"/>
      <c r="X20" s="27">
        <v>0</v>
      </c>
      <c r="Y20" s="27"/>
      <c r="Z20" s="27">
        <v>0</v>
      </c>
      <c r="AA20" s="27"/>
      <c r="AB20" s="27">
        <v>0</v>
      </c>
      <c r="AC20" s="27"/>
      <c r="AD20" s="27">
        <v>0</v>
      </c>
      <c r="AE20" s="50"/>
      <c r="AF20" s="121"/>
      <c r="AG20" s="22"/>
      <c r="AH20" s="14"/>
      <c r="AI20" s="14"/>
      <c r="AJ20" s="14"/>
    </row>
    <row r="21" spans="1:36" s="4" customFormat="1" ht="231.75" customHeight="1">
      <c r="A21" s="67" t="s">
        <v>14</v>
      </c>
      <c r="B21" s="24">
        <f>H21+J21+L21+N21+P21+R21+T21+V21+X21+Z21+AB21+AD21</f>
        <v>165710.6</v>
      </c>
      <c r="C21" s="24">
        <f>H21+J21+L21+N21+P21+R21</f>
        <v>98943.315999999992</v>
      </c>
      <c r="D21" s="24">
        <f>E21</f>
        <v>84441.709999999992</v>
      </c>
      <c r="E21" s="24">
        <f>I21+K21+M21+O21+Q21+S21+U21+W21+Y21+AA21+AC21+AE21</f>
        <v>84441.709999999992</v>
      </c>
      <c r="F21" s="24">
        <f t="shared" si="1"/>
        <v>50.957337671820625</v>
      </c>
      <c r="G21" s="24">
        <f t="shared" si="2"/>
        <v>85.34352133498335</v>
      </c>
      <c r="H21" s="27">
        <f>12968373/1000</f>
        <v>12968.373</v>
      </c>
      <c r="I21" s="27">
        <v>6682.66</v>
      </c>
      <c r="J21" s="27">
        <f>13881474/1000</f>
        <v>13881.474</v>
      </c>
      <c r="K21" s="27">
        <v>14569.49</v>
      </c>
      <c r="L21" s="27">
        <f>11445321/1000</f>
        <v>11445.321</v>
      </c>
      <c r="M21" s="27">
        <v>11262.56</v>
      </c>
      <c r="N21" s="27">
        <f>16197772/1000</f>
        <v>16197.772000000001</v>
      </c>
      <c r="O21" s="27">
        <v>13889.94</v>
      </c>
      <c r="P21" s="27">
        <f>24426941/1000</f>
        <v>24426.940999999999</v>
      </c>
      <c r="Q21" s="27">
        <v>18820.46</v>
      </c>
      <c r="R21" s="27">
        <f>20023435/1000</f>
        <v>20023.435000000001</v>
      </c>
      <c r="S21" s="27">
        <v>19216.599999999999</v>
      </c>
      <c r="T21" s="27">
        <f>12559304/1000</f>
        <v>12559.304</v>
      </c>
      <c r="U21" s="27"/>
      <c r="V21" s="27">
        <f>(13423376-4370300)/1000</f>
        <v>9053.0759999999991</v>
      </c>
      <c r="W21" s="27"/>
      <c r="X21" s="27">
        <f>9245475/1000</f>
        <v>9245.4750000000004</v>
      </c>
      <c r="Y21" s="27"/>
      <c r="Z21" s="27">
        <f>12853859/1000</f>
        <v>12853.859</v>
      </c>
      <c r="AA21" s="27"/>
      <c r="AB21" s="27">
        <f>11791146/1000</f>
        <v>11791.146000000001</v>
      </c>
      <c r="AC21" s="27"/>
      <c r="AD21" s="27">
        <f>11264424/1000</f>
        <v>11264.424000000001</v>
      </c>
      <c r="AE21" s="50"/>
      <c r="AF21" s="122"/>
      <c r="AG21" s="22"/>
      <c r="AH21" s="14"/>
      <c r="AI21" s="14"/>
      <c r="AJ21" s="14"/>
    </row>
    <row r="22" spans="1:36" s="4" customFormat="1" ht="40.5" customHeight="1">
      <c r="A22" s="25" t="s">
        <v>21</v>
      </c>
      <c r="B22" s="23"/>
      <c r="C22" s="23"/>
      <c r="D22" s="23"/>
      <c r="E22" s="23"/>
      <c r="F22" s="23"/>
      <c r="G22" s="23"/>
      <c r="H22" s="21"/>
      <c r="I22" s="27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50"/>
      <c r="AF22" s="109" t="s">
        <v>67</v>
      </c>
      <c r="AG22" s="22"/>
      <c r="AH22" s="14"/>
      <c r="AI22" s="14"/>
      <c r="AJ22" s="14"/>
    </row>
    <row r="23" spans="1:36" s="4" customFormat="1" ht="25.5" customHeight="1">
      <c r="A23" s="25" t="s">
        <v>15</v>
      </c>
      <c r="B23" s="23">
        <f>B26+B25+B24</f>
        <v>370.19999999999993</v>
      </c>
      <c r="C23" s="23">
        <f>C24+C25+C26</f>
        <v>256.98099999999994</v>
      </c>
      <c r="D23" s="23">
        <f>D24+D25+D26</f>
        <v>157.31</v>
      </c>
      <c r="E23" s="23">
        <f t="shared" si="5"/>
        <v>157.31</v>
      </c>
      <c r="F23" s="23">
        <f t="shared" si="1"/>
        <v>42.493246893571055</v>
      </c>
      <c r="G23" s="23">
        <f t="shared" si="2"/>
        <v>61.21464232764292</v>
      </c>
      <c r="H23" s="21">
        <f>H25+H26+H24</f>
        <v>32.122</v>
      </c>
      <c r="I23" s="21">
        <f t="shared" ref="I23:AE23" si="9">I25+I26+I24</f>
        <v>0</v>
      </c>
      <c r="J23" s="21">
        <f t="shared" si="9"/>
        <v>99.388999999999996</v>
      </c>
      <c r="K23" s="21">
        <f t="shared" si="9"/>
        <v>18</v>
      </c>
      <c r="L23" s="21">
        <f t="shared" si="9"/>
        <v>12.398</v>
      </c>
      <c r="M23" s="21">
        <f t="shared" si="9"/>
        <v>19.670000000000002</v>
      </c>
      <c r="N23" s="21">
        <f t="shared" si="9"/>
        <v>50.228999999999999</v>
      </c>
      <c r="O23" s="21">
        <f t="shared" si="9"/>
        <v>37.76</v>
      </c>
      <c r="P23" s="21">
        <f t="shared" si="9"/>
        <v>25.603999999999999</v>
      </c>
      <c r="Q23" s="21">
        <f t="shared" si="9"/>
        <v>52.48</v>
      </c>
      <c r="R23" s="21">
        <f t="shared" si="9"/>
        <v>37.238999999999997</v>
      </c>
      <c r="S23" s="21">
        <f t="shared" si="9"/>
        <v>29.4</v>
      </c>
      <c r="T23" s="21">
        <f t="shared" si="9"/>
        <v>0</v>
      </c>
      <c r="U23" s="21">
        <f t="shared" si="9"/>
        <v>0</v>
      </c>
      <c r="V23" s="21">
        <f t="shared" si="9"/>
        <v>32</v>
      </c>
      <c r="W23" s="21">
        <f t="shared" si="9"/>
        <v>0</v>
      </c>
      <c r="X23" s="21">
        <f t="shared" si="9"/>
        <v>8.8000000000000007</v>
      </c>
      <c r="Y23" s="21">
        <f t="shared" si="9"/>
        <v>0</v>
      </c>
      <c r="Z23" s="21">
        <f t="shared" si="9"/>
        <v>35.962000000000003</v>
      </c>
      <c r="AA23" s="21">
        <f t="shared" si="9"/>
        <v>0</v>
      </c>
      <c r="AB23" s="21">
        <f t="shared" si="9"/>
        <v>19.02</v>
      </c>
      <c r="AC23" s="21">
        <f t="shared" si="9"/>
        <v>0</v>
      </c>
      <c r="AD23" s="21">
        <f t="shared" si="9"/>
        <v>17.437000000000001</v>
      </c>
      <c r="AE23" s="21">
        <f t="shared" si="9"/>
        <v>0</v>
      </c>
      <c r="AF23" s="110"/>
      <c r="AG23" s="22"/>
      <c r="AH23" s="14"/>
      <c r="AI23" s="14"/>
      <c r="AJ23" s="14"/>
    </row>
    <row r="24" spans="1:36" s="4" customFormat="1" ht="25.5" customHeight="1">
      <c r="A24" s="28" t="s">
        <v>34</v>
      </c>
      <c r="B24" s="24">
        <f t="shared" ref="B24:B25" si="10">H24+J24+L24+N24+P24+R24+T24+V24+X24+Z24+AB24+AD24</f>
        <v>0</v>
      </c>
      <c r="C24" s="24">
        <f>H24+J24</f>
        <v>0</v>
      </c>
      <c r="D24" s="24">
        <f t="shared" si="4"/>
        <v>0</v>
      </c>
      <c r="E24" s="24">
        <f t="shared" si="5"/>
        <v>0</v>
      </c>
      <c r="F24" s="24">
        <v>0</v>
      </c>
      <c r="G24" s="24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/>
      <c r="V24" s="27">
        <v>0</v>
      </c>
      <c r="W24" s="27"/>
      <c r="X24" s="27">
        <v>0</v>
      </c>
      <c r="Y24" s="27"/>
      <c r="Z24" s="27">
        <v>0</v>
      </c>
      <c r="AA24" s="27"/>
      <c r="AB24" s="27">
        <v>0</v>
      </c>
      <c r="AC24" s="27"/>
      <c r="AD24" s="27">
        <v>0</v>
      </c>
      <c r="AE24" s="50"/>
      <c r="AF24" s="110"/>
      <c r="AG24" s="22"/>
      <c r="AH24" s="14"/>
      <c r="AI24" s="14"/>
      <c r="AJ24" s="14"/>
    </row>
    <row r="25" spans="1:36" s="4" customFormat="1" ht="28.5" customHeight="1">
      <c r="A25" s="28" t="s">
        <v>13</v>
      </c>
      <c r="B25" s="24">
        <f t="shared" si="10"/>
        <v>0</v>
      </c>
      <c r="C25" s="24">
        <f t="shared" ref="C25" si="11">H25+J25</f>
        <v>0</v>
      </c>
      <c r="D25" s="24">
        <f t="shared" si="4"/>
        <v>0</v>
      </c>
      <c r="E25" s="24">
        <f t="shared" si="5"/>
        <v>0</v>
      </c>
      <c r="F25" s="24">
        <v>0</v>
      </c>
      <c r="G25" s="24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/>
      <c r="V25" s="27">
        <v>0</v>
      </c>
      <c r="W25" s="27"/>
      <c r="X25" s="27">
        <v>0</v>
      </c>
      <c r="Y25" s="27"/>
      <c r="Z25" s="27">
        <v>0</v>
      </c>
      <c r="AA25" s="27"/>
      <c r="AB25" s="27">
        <v>0</v>
      </c>
      <c r="AC25" s="27"/>
      <c r="AD25" s="27">
        <v>0</v>
      </c>
      <c r="AE25" s="50"/>
      <c r="AF25" s="110"/>
      <c r="AG25" s="22"/>
      <c r="AH25" s="14"/>
      <c r="AI25" s="14"/>
      <c r="AJ25" s="14"/>
    </row>
    <row r="26" spans="1:36" s="4" customFormat="1" ht="75" customHeight="1">
      <c r="A26" s="28" t="s">
        <v>14</v>
      </c>
      <c r="B26" s="24">
        <f>H26+J26+L26+N26+P26+R26+T26+V26+X26+Z26+AB26+AD26</f>
        <v>370.19999999999993</v>
      </c>
      <c r="C26" s="24">
        <f>H26+J26+L26+N26+P26+R26</f>
        <v>256.98099999999994</v>
      </c>
      <c r="D26" s="24">
        <f>E26</f>
        <v>157.31</v>
      </c>
      <c r="E26" s="24">
        <f>I26+K26+M26+O26+Q26+S26+U26+W26+Y26+AA26+AC26+AE26</f>
        <v>157.31</v>
      </c>
      <c r="F26" s="24">
        <f t="shared" si="1"/>
        <v>42.493246893571055</v>
      </c>
      <c r="G26" s="24">
        <f t="shared" si="2"/>
        <v>61.21464232764292</v>
      </c>
      <c r="H26" s="27">
        <f>32122/1000</f>
        <v>32.122</v>
      </c>
      <c r="I26" s="27">
        <v>0</v>
      </c>
      <c r="J26" s="27">
        <f>99389/1000</f>
        <v>99.388999999999996</v>
      </c>
      <c r="K26" s="27">
        <v>18</v>
      </c>
      <c r="L26" s="27">
        <f>12398/1000</f>
        <v>12.398</v>
      </c>
      <c r="M26" s="27">
        <v>19.670000000000002</v>
      </c>
      <c r="N26" s="27">
        <f>50229/1000</f>
        <v>50.228999999999999</v>
      </c>
      <c r="O26" s="27">
        <v>37.76</v>
      </c>
      <c r="P26" s="27">
        <f>25604/1000</f>
        <v>25.603999999999999</v>
      </c>
      <c r="Q26" s="27">
        <v>52.48</v>
      </c>
      <c r="R26" s="27">
        <f>37239/1000</f>
        <v>37.238999999999997</v>
      </c>
      <c r="S26" s="27">
        <v>29.4</v>
      </c>
      <c r="T26" s="27">
        <v>0</v>
      </c>
      <c r="U26" s="27"/>
      <c r="V26" s="27">
        <f>32000/1000</f>
        <v>32</v>
      </c>
      <c r="W26" s="27"/>
      <c r="X26" s="27">
        <f>8800/1000</f>
        <v>8.8000000000000007</v>
      </c>
      <c r="Y26" s="27"/>
      <c r="Z26" s="27">
        <f>35962/1000</f>
        <v>35.962000000000003</v>
      </c>
      <c r="AA26" s="27"/>
      <c r="AB26" s="27">
        <f>19020/1000</f>
        <v>19.02</v>
      </c>
      <c r="AC26" s="27"/>
      <c r="AD26" s="27">
        <f>17437/1000</f>
        <v>17.437000000000001</v>
      </c>
      <c r="AE26" s="50"/>
      <c r="AF26" s="111"/>
      <c r="AG26" s="22"/>
      <c r="AH26" s="14"/>
      <c r="AI26" s="14"/>
      <c r="AJ26" s="14"/>
    </row>
    <row r="27" spans="1:36" s="4" customFormat="1" ht="56.25" customHeight="1">
      <c r="A27" s="70" t="s">
        <v>59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50"/>
      <c r="AF27" s="47"/>
      <c r="AG27" s="22"/>
      <c r="AH27" s="14"/>
      <c r="AI27" s="14"/>
      <c r="AJ27" s="14"/>
    </row>
    <row r="28" spans="1:36" s="4" customFormat="1" ht="22.5" customHeight="1">
      <c r="A28" s="25" t="s">
        <v>15</v>
      </c>
      <c r="B28" s="23">
        <f>B29</f>
        <v>6.4</v>
      </c>
      <c r="C28" s="23">
        <f>C29</f>
        <v>6.4</v>
      </c>
      <c r="D28" s="23">
        <f>D29</f>
        <v>6.4</v>
      </c>
      <c r="E28" s="23">
        <f>E29</f>
        <v>6.4</v>
      </c>
      <c r="F28" s="23">
        <f t="shared" si="1"/>
        <v>100</v>
      </c>
      <c r="G28" s="23">
        <f>G29</f>
        <v>0</v>
      </c>
      <c r="H28" s="23">
        <f>H29</f>
        <v>0</v>
      </c>
      <c r="I28" s="23">
        <f t="shared" ref="I28:AE28" si="12">I29</f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6.4</v>
      </c>
      <c r="Q28" s="23">
        <f t="shared" si="12"/>
        <v>6.4</v>
      </c>
      <c r="R28" s="23">
        <f t="shared" si="12"/>
        <v>0</v>
      </c>
      <c r="S28" s="23">
        <f t="shared" si="12"/>
        <v>0</v>
      </c>
      <c r="T28" s="23">
        <f t="shared" si="12"/>
        <v>0</v>
      </c>
      <c r="U28" s="23">
        <f t="shared" si="12"/>
        <v>0</v>
      </c>
      <c r="V28" s="23">
        <f t="shared" si="12"/>
        <v>0</v>
      </c>
      <c r="W28" s="23">
        <f t="shared" si="12"/>
        <v>0</v>
      </c>
      <c r="X28" s="23">
        <f t="shared" si="12"/>
        <v>0</v>
      </c>
      <c r="Y28" s="23">
        <f t="shared" si="12"/>
        <v>0</v>
      </c>
      <c r="Z28" s="23">
        <f t="shared" si="12"/>
        <v>0</v>
      </c>
      <c r="AA28" s="23">
        <f t="shared" si="12"/>
        <v>0</v>
      </c>
      <c r="AB28" s="23">
        <f t="shared" si="12"/>
        <v>0</v>
      </c>
      <c r="AC28" s="23">
        <f t="shared" si="12"/>
        <v>0</v>
      </c>
      <c r="AD28" s="23">
        <f t="shared" si="12"/>
        <v>0</v>
      </c>
      <c r="AE28" s="23">
        <f t="shared" si="12"/>
        <v>0</v>
      </c>
      <c r="AF28" s="109" t="s">
        <v>64</v>
      </c>
      <c r="AG28" s="22"/>
      <c r="AH28" s="14"/>
      <c r="AI28" s="14"/>
      <c r="AJ28" s="14"/>
    </row>
    <row r="29" spans="1:36" s="4" customFormat="1" ht="21" customHeight="1">
      <c r="A29" s="28" t="s">
        <v>14</v>
      </c>
      <c r="B29" s="24">
        <f>H29+J29+L29+N29+P29+R29+T29+V29+X29+Z29+AB29+AD29</f>
        <v>6.4</v>
      </c>
      <c r="C29" s="24">
        <f>H29+J29+L29+N29+P29</f>
        <v>6.4</v>
      </c>
      <c r="D29" s="24">
        <f>E29</f>
        <v>6.4</v>
      </c>
      <c r="E29" s="24">
        <f>I29+K29+M29+O29+Q29+S29+U29+W29+Y29+AA29+AC29+AE29</f>
        <v>6.4</v>
      </c>
      <c r="F29" s="24">
        <f t="shared" si="1"/>
        <v>100</v>
      </c>
      <c r="G29" s="24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>6400/1000</f>
        <v>6.4</v>
      </c>
      <c r="Q29" s="27">
        <v>6.4</v>
      </c>
      <c r="R29" s="27">
        <v>0</v>
      </c>
      <c r="S29" s="27">
        <v>0</v>
      </c>
      <c r="T29" s="27">
        <v>0</v>
      </c>
      <c r="U29" s="27"/>
      <c r="V29" s="27">
        <v>0</v>
      </c>
      <c r="W29" s="27"/>
      <c r="X29" s="27">
        <v>0</v>
      </c>
      <c r="Y29" s="27"/>
      <c r="Z29" s="27">
        <v>0</v>
      </c>
      <c r="AA29" s="27"/>
      <c r="AB29" s="27">
        <v>0</v>
      </c>
      <c r="AC29" s="27"/>
      <c r="AD29" s="27">
        <v>0</v>
      </c>
      <c r="AE29" s="50"/>
      <c r="AF29" s="111"/>
      <c r="AG29" s="22"/>
      <c r="AH29" s="14"/>
      <c r="AI29" s="14"/>
      <c r="AJ29" s="14"/>
    </row>
    <row r="30" spans="1:36" s="4" customFormat="1" ht="37.5" customHeight="1">
      <c r="A30" s="2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47"/>
      <c r="AG30" s="22"/>
      <c r="AH30" s="14"/>
      <c r="AI30" s="14"/>
      <c r="AJ30" s="14"/>
    </row>
    <row r="31" spans="1:36" s="4" customFormat="1" ht="31.5" customHeight="1">
      <c r="A31" s="25" t="s">
        <v>15</v>
      </c>
      <c r="B31" s="23">
        <f>SUM(B32:B34)</f>
        <v>9194.74</v>
      </c>
      <c r="C31" s="23">
        <f>C32+C33+C34</f>
        <v>9158.1460000000006</v>
      </c>
      <c r="D31" s="23">
        <f>D32+D33+D34</f>
        <v>7087.27</v>
      </c>
      <c r="E31" s="23">
        <f t="shared" si="5"/>
        <v>1812.1200000000001</v>
      </c>
      <c r="F31" s="23">
        <f t="shared" si="1"/>
        <v>19.708224484868524</v>
      </c>
      <c r="G31" s="23">
        <f t="shared" si="2"/>
        <v>19.786974350485348</v>
      </c>
      <c r="H31" s="23">
        <f>H32+H33+H34</f>
        <v>0</v>
      </c>
      <c r="I31" s="23">
        <f>I32+I33+I34</f>
        <v>0</v>
      </c>
      <c r="J31" s="23">
        <f t="shared" ref="J31:AE31" si="13">J32+J33+J34</f>
        <v>0</v>
      </c>
      <c r="K31" s="23">
        <f t="shared" si="13"/>
        <v>0</v>
      </c>
      <c r="L31" s="23">
        <f t="shared" si="13"/>
        <v>468.97700000000003</v>
      </c>
      <c r="M31" s="23">
        <f t="shared" si="13"/>
        <v>23.49</v>
      </c>
      <c r="N31" s="23">
        <f t="shared" si="13"/>
        <v>7339.71</v>
      </c>
      <c r="O31" s="23">
        <f t="shared" si="13"/>
        <v>0</v>
      </c>
      <c r="P31" s="23">
        <f t="shared" si="13"/>
        <v>1059.83</v>
      </c>
      <c r="Q31" s="23">
        <f t="shared" si="13"/>
        <v>1427.63</v>
      </c>
      <c r="R31" s="23">
        <f t="shared" si="13"/>
        <v>289.62900000000002</v>
      </c>
      <c r="S31" s="23">
        <f t="shared" si="13"/>
        <v>361</v>
      </c>
      <c r="T31" s="23">
        <f t="shared" si="13"/>
        <v>1.2610000000000001</v>
      </c>
      <c r="U31" s="23">
        <f t="shared" si="13"/>
        <v>0</v>
      </c>
      <c r="V31" s="23">
        <f t="shared" si="13"/>
        <v>0</v>
      </c>
      <c r="W31" s="23">
        <f t="shared" si="13"/>
        <v>0</v>
      </c>
      <c r="X31" s="23">
        <f t="shared" si="13"/>
        <v>35.333000000000006</v>
      </c>
      <c r="Y31" s="23">
        <f t="shared" si="13"/>
        <v>0</v>
      </c>
      <c r="Z31" s="23">
        <f t="shared" si="13"/>
        <v>0</v>
      </c>
      <c r="AA31" s="23">
        <f t="shared" si="13"/>
        <v>0</v>
      </c>
      <c r="AB31" s="23">
        <f t="shared" si="13"/>
        <v>0</v>
      </c>
      <c r="AC31" s="23">
        <f t="shared" si="13"/>
        <v>0</v>
      </c>
      <c r="AD31" s="23">
        <f t="shared" si="13"/>
        <v>0</v>
      </c>
      <c r="AE31" s="23">
        <f t="shared" si="13"/>
        <v>0</v>
      </c>
      <c r="AF31" s="47"/>
      <c r="AG31" s="22"/>
      <c r="AH31" s="14"/>
      <c r="AI31" s="14"/>
      <c r="AJ31" s="14"/>
    </row>
    <row r="32" spans="1:36" s="4" customFormat="1" ht="20.25" customHeight="1">
      <c r="A32" s="28" t="s">
        <v>34</v>
      </c>
      <c r="B32" s="24">
        <f>H32+J32+L32+N32+P32+R32+T32+V32+X32+Z32+AB32+AD32</f>
        <v>0</v>
      </c>
      <c r="C32" s="24">
        <f>H32+J32+L32</f>
        <v>0</v>
      </c>
      <c r="D32" s="24">
        <f>E32</f>
        <v>0</v>
      </c>
      <c r="E32" s="24">
        <f>I32+K32+M32+O32+Q32+S32+U32+W32+Y32+AA32+AC32+AE32</f>
        <v>0</v>
      </c>
      <c r="F32" s="24">
        <v>0</v>
      </c>
      <c r="G32" s="24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/>
      <c r="V32" s="27">
        <v>0</v>
      </c>
      <c r="W32" s="27"/>
      <c r="X32" s="27">
        <v>0</v>
      </c>
      <c r="Y32" s="27"/>
      <c r="Z32" s="27">
        <v>0</v>
      </c>
      <c r="AA32" s="27"/>
      <c r="AB32" s="27">
        <v>0</v>
      </c>
      <c r="AC32" s="27"/>
      <c r="AD32" s="27">
        <v>0</v>
      </c>
      <c r="AE32" s="50"/>
      <c r="AF32" s="71"/>
      <c r="AG32" s="22"/>
      <c r="AH32" s="14"/>
      <c r="AI32" s="14"/>
      <c r="AJ32" s="14"/>
    </row>
    <row r="33" spans="1:36" s="4" customFormat="1" ht="177.75" customHeight="1">
      <c r="A33" s="28" t="s">
        <v>13</v>
      </c>
      <c r="B33" s="24">
        <f>H33+J33+L33+N33+P33+R33+T33+V33+X33+Z33+AB33+AD33</f>
        <v>6155.4000000000005</v>
      </c>
      <c r="C33" s="24">
        <f>H33+J33+L33+N33+P33+R33</f>
        <v>6120.6360000000004</v>
      </c>
      <c r="D33" s="83">
        <v>6120.64</v>
      </c>
      <c r="E33" s="24">
        <f>I33+K33+M33+O33+Q33+S33+U33+W33+Y33+AA33+AC33+AE33</f>
        <v>845.49</v>
      </c>
      <c r="F33" s="24">
        <f t="shared" si="1"/>
        <v>13.735744224583291</v>
      </c>
      <c r="G33" s="24">
        <f t="shared" si="2"/>
        <v>13.81376053076837</v>
      </c>
      <c r="H33" s="27">
        <v>0</v>
      </c>
      <c r="I33" s="27">
        <v>0</v>
      </c>
      <c r="J33" s="27">
        <v>0</v>
      </c>
      <c r="K33" s="27">
        <v>0</v>
      </c>
      <c r="L33" s="27">
        <f>445487/1000</f>
        <v>445.48700000000002</v>
      </c>
      <c r="M33" s="27">
        <v>0</v>
      </c>
      <c r="N33" s="27">
        <v>5000</v>
      </c>
      <c r="O33" s="27">
        <v>0</v>
      </c>
      <c r="P33" s="27">
        <v>400</v>
      </c>
      <c r="Q33" s="27">
        <v>634.49</v>
      </c>
      <c r="R33" s="27">
        <f>275149/1000</f>
        <v>275.149</v>
      </c>
      <c r="S33" s="27">
        <v>211</v>
      </c>
      <c r="T33" s="27">
        <f>1201/1000</f>
        <v>1.2010000000000001</v>
      </c>
      <c r="U33" s="27"/>
      <c r="V33" s="27">
        <v>0</v>
      </c>
      <c r="W33" s="27"/>
      <c r="X33" s="27">
        <f>33563/1000</f>
        <v>33.563000000000002</v>
      </c>
      <c r="Y33" s="27"/>
      <c r="Z33" s="27">
        <v>0</v>
      </c>
      <c r="AA33" s="27"/>
      <c r="AB33" s="27">
        <v>0</v>
      </c>
      <c r="AC33" s="27"/>
      <c r="AD33" s="27">
        <v>0</v>
      </c>
      <c r="AE33" s="50"/>
      <c r="AF33" s="71" t="s">
        <v>60</v>
      </c>
      <c r="AG33" s="22"/>
      <c r="AH33" s="14"/>
      <c r="AI33" s="14"/>
      <c r="AJ33" s="14"/>
    </row>
    <row r="34" spans="1:36" s="4" customFormat="1" ht="197.25" customHeight="1">
      <c r="A34" s="28" t="s">
        <v>14</v>
      </c>
      <c r="B34" s="24">
        <f t="shared" ref="B34:B35" si="14">H34+J34+L34+N34+P34+R34+T34+V34+X34+Z34+AB34+AD34</f>
        <v>3039.3399999999997</v>
      </c>
      <c r="C34" s="24">
        <f t="shared" ref="C34:C35" si="15">H34+J34+L34+N34+P34+R34</f>
        <v>3037.5099999999998</v>
      </c>
      <c r="D34" s="24">
        <f>E34</f>
        <v>966.63</v>
      </c>
      <c r="E34" s="24">
        <f>I34+K34+M34+O34+Q34+S34+U34+W34+Y34+AA34+AC34+AE34</f>
        <v>966.63</v>
      </c>
      <c r="F34" s="24">
        <f t="shared" si="1"/>
        <v>31.803944277376011</v>
      </c>
      <c r="G34" s="24">
        <f t="shared" si="2"/>
        <v>31.82310510911898</v>
      </c>
      <c r="H34" s="27">
        <v>0</v>
      </c>
      <c r="I34" s="27">
        <v>0</v>
      </c>
      <c r="J34" s="27">
        <v>0</v>
      </c>
      <c r="K34" s="27">
        <v>0</v>
      </c>
      <c r="L34" s="27">
        <v>23.49</v>
      </c>
      <c r="M34" s="27">
        <v>23.49</v>
      </c>
      <c r="N34" s="27">
        <f>2000+339.71</f>
        <v>2339.71</v>
      </c>
      <c r="O34" s="27">
        <v>0</v>
      </c>
      <c r="P34" s="27">
        <v>659.83</v>
      </c>
      <c r="Q34" s="27">
        <v>793.14</v>
      </c>
      <c r="R34" s="27">
        <v>14.48</v>
      </c>
      <c r="S34" s="27">
        <v>150</v>
      </c>
      <c r="T34" s="27">
        <v>0.06</v>
      </c>
      <c r="U34" s="27"/>
      <c r="V34" s="27">
        <v>0</v>
      </c>
      <c r="W34" s="27"/>
      <c r="X34" s="27">
        <v>1.77</v>
      </c>
      <c r="Y34" s="27"/>
      <c r="Z34" s="27">
        <v>0</v>
      </c>
      <c r="AA34" s="27"/>
      <c r="AB34" s="27">
        <v>0</v>
      </c>
      <c r="AC34" s="27"/>
      <c r="AD34" s="27">
        <v>0</v>
      </c>
      <c r="AE34" s="50"/>
      <c r="AF34" s="74" t="s">
        <v>65</v>
      </c>
      <c r="AG34" s="22"/>
      <c r="AH34" s="14"/>
      <c r="AI34" s="14"/>
      <c r="AJ34" s="14"/>
    </row>
    <row r="35" spans="1:36" s="4" customFormat="1" ht="39.75" customHeight="1">
      <c r="A35" s="61" t="s">
        <v>51</v>
      </c>
      <c r="B35" s="53">
        <f t="shared" si="14"/>
        <v>39.800000000000004</v>
      </c>
      <c r="C35" s="53">
        <f t="shared" si="15"/>
        <v>37.971000000000004</v>
      </c>
      <c r="D35" s="53">
        <f t="shared" ref="D35" si="16">E35</f>
        <v>23.49</v>
      </c>
      <c r="E35" s="53">
        <f t="shared" ref="E35" si="17">I35+K35+M35+O35+Q35+S35+U35+W35+Y35+AA35+AC35+AE35</f>
        <v>23.49</v>
      </c>
      <c r="F35" s="53">
        <f t="shared" si="1"/>
        <v>59.020100502512548</v>
      </c>
      <c r="G35" s="53">
        <f t="shared" si="2"/>
        <v>61.863000711068963</v>
      </c>
      <c r="H35" s="54">
        <v>0</v>
      </c>
      <c r="I35" s="54">
        <v>0</v>
      </c>
      <c r="J35" s="54">
        <v>0</v>
      </c>
      <c r="K35" s="54">
        <v>0</v>
      </c>
      <c r="L35" s="54">
        <f>23489/1000</f>
        <v>23.489000000000001</v>
      </c>
      <c r="M35" s="54">
        <v>23.49</v>
      </c>
      <c r="N35" s="54">
        <v>0</v>
      </c>
      <c r="O35" s="54">
        <v>0</v>
      </c>
      <c r="P35" s="54">
        <v>0</v>
      </c>
      <c r="Q35" s="54">
        <v>0</v>
      </c>
      <c r="R35" s="54">
        <f>14482/1000</f>
        <v>14.481999999999999</v>
      </c>
      <c r="S35" s="54">
        <v>0</v>
      </c>
      <c r="T35" s="54">
        <f>63/1000</f>
        <v>6.3E-2</v>
      </c>
      <c r="U35" s="54"/>
      <c r="V35" s="54">
        <v>0</v>
      </c>
      <c r="W35" s="54"/>
      <c r="X35" s="54">
        <f>1766/1000</f>
        <v>1.766</v>
      </c>
      <c r="Y35" s="54"/>
      <c r="Z35" s="54">
        <v>0</v>
      </c>
      <c r="AA35" s="54"/>
      <c r="AB35" s="54">
        <v>0</v>
      </c>
      <c r="AC35" s="54"/>
      <c r="AD35" s="54">
        <v>0</v>
      </c>
      <c r="AE35" s="55"/>
      <c r="AF35" s="79" t="s">
        <v>58</v>
      </c>
      <c r="AG35" s="22"/>
      <c r="AH35" s="14"/>
      <c r="AI35" s="14"/>
      <c r="AJ35" s="14"/>
    </row>
    <row r="36" spans="1:36" s="4" customFormat="1" ht="63.75" customHeight="1">
      <c r="A36" s="57" t="s">
        <v>36</v>
      </c>
      <c r="B36" s="23">
        <f>B38</f>
        <v>50743</v>
      </c>
      <c r="C36" s="23">
        <f t="shared" ref="C36:AE36" si="18">C38</f>
        <v>23609.577999999998</v>
      </c>
      <c r="D36" s="23">
        <f t="shared" si="18"/>
        <v>22220.202999999998</v>
      </c>
      <c r="E36" s="23">
        <f t="shared" si="18"/>
        <v>22220.202999999998</v>
      </c>
      <c r="F36" s="23">
        <f t="shared" si="18"/>
        <v>43.789691188932458</v>
      </c>
      <c r="G36" s="23">
        <f t="shared" si="18"/>
        <v>94.115206125242906</v>
      </c>
      <c r="H36" s="23">
        <f t="shared" si="18"/>
        <v>2091.761</v>
      </c>
      <c r="I36" s="23">
        <f t="shared" si="18"/>
        <v>1717.69</v>
      </c>
      <c r="J36" s="23">
        <f t="shared" si="18"/>
        <v>4194.5249999999996</v>
      </c>
      <c r="K36" s="23">
        <f t="shared" si="18"/>
        <v>3683.4630000000002</v>
      </c>
      <c r="L36" s="23">
        <f t="shared" si="18"/>
        <v>4245.4629999999997</v>
      </c>
      <c r="M36" s="23">
        <f t="shared" si="18"/>
        <v>3428.9810000000002</v>
      </c>
      <c r="N36" s="23">
        <f t="shared" si="18"/>
        <v>4245.5990000000002</v>
      </c>
      <c r="O36" s="23">
        <f t="shared" si="18"/>
        <v>3507.623</v>
      </c>
      <c r="P36" s="23">
        <f t="shared" si="18"/>
        <v>4532.5749999999998</v>
      </c>
      <c r="Q36" s="23">
        <f t="shared" si="18"/>
        <v>4543.6660000000002</v>
      </c>
      <c r="R36" s="23">
        <f t="shared" si="18"/>
        <v>4299.6549999999997</v>
      </c>
      <c r="S36" s="23">
        <f t="shared" si="18"/>
        <v>5338.78</v>
      </c>
      <c r="T36" s="23">
        <f t="shared" si="18"/>
        <v>4288.8249999999998</v>
      </c>
      <c r="U36" s="23">
        <f t="shared" si="18"/>
        <v>0</v>
      </c>
      <c r="V36" s="23">
        <f t="shared" si="18"/>
        <v>4288.8249999999998</v>
      </c>
      <c r="W36" s="23">
        <f t="shared" si="18"/>
        <v>0</v>
      </c>
      <c r="X36" s="23">
        <f t="shared" si="18"/>
        <v>4253.1350000000002</v>
      </c>
      <c r="Y36" s="23">
        <f t="shared" si="18"/>
        <v>0</v>
      </c>
      <c r="Z36" s="23">
        <f t="shared" si="18"/>
        <v>4110.8249999999998</v>
      </c>
      <c r="AA36" s="23">
        <f t="shared" si="18"/>
        <v>0</v>
      </c>
      <c r="AB36" s="23">
        <f t="shared" si="18"/>
        <v>4094.5250000000001</v>
      </c>
      <c r="AC36" s="23">
        <f t="shared" si="18"/>
        <v>0</v>
      </c>
      <c r="AD36" s="23">
        <f t="shared" si="18"/>
        <v>6097.2870000000003</v>
      </c>
      <c r="AE36" s="23">
        <f t="shared" si="18"/>
        <v>0</v>
      </c>
      <c r="AF36" s="47"/>
      <c r="AG36" s="22"/>
      <c r="AH36" s="14"/>
      <c r="AI36" s="14"/>
      <c r="AJ36" s="14"/>
    </row>
    <row r="37" spans="1:36" s="4" customFormat="1" ht="45.75" customHeight="1">
      <c r="A37" s="28" t="s">
        <v>37</v>
      </c>
      <c r="B37" s="24"/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50"/>
      <c r="AF37" s="47"/>
      <c r="AG37" s="22"/>
      <c r="AH37" s="14"/>
      <c r="AI37" s="14"/>
      <c r="AJ37" s="14"/>
    </row>
    <row r="38" spans="1:36" s="4" customFormat="1" ht="26.25" customHeight="1">
      <c r="A38" s="25" t="s">
        <v>15</v>
      </c>
      <c r="B38" s="23">
        <f>B40+B41+B39</f>
        <v>50743</v>
      </c>
      <c r="C38" s="23">
        <f t="shared" ref="C38:E38" si="19">C40+C41+C39</f>
        <v>23609.577999999998</v>
      </c>
      <c r="D38" s="23">
        <f t="shared" si="19"/>
        <v>22220.202999999998</v>
      </c>
      <c r="E38" s="23">
        <f t="shared" si="19"/>
        <v>22220.202999999998</v>
      </c>
      <c r="F38" s="23">
        <f t="shared" si="1"/>
        <v>43.789691188932458</v>
      </c>
      <c r="G38" s="23">
        <f t="shared" si="2"/>
        <v>94.115206125242906</v>
      </c>
      <c r="H38" s="23">
        <f>H40+H41+H39</f>
        <v>2091.761</v>
      </c>
      <c r="I38" s="23">
        <f t="shared" ref="I38:AE38" si="20">I40+I41+I39</f>
        <v>1717.69</v>
      </c>
      <c r="J38" s="23">
        <f t="shared" si="20"/>
        <v>4194.5249999999996</v>
      </c>
      <c r="K38" s="23">
        <f t="shared" si="20"/>
        <v>3683.4630000000002</v>
      </c>
      <c r="L38" s="23">
        <f t="shared" si="20"/>
        <v>4245.4629999999997</v>
      </c>
      <c r="M38" s="23">
        <f t="shared" si="20"/>
        <v>3428.9810000000002</v>
      </c>
      <c r="N38" s="23">
        <f t="shared" si="20"/>
        <v>4245.5990000000002</v>
      </c>
      <c r="O38" s="23">
        <f t="shared" si="20"/>
        <v>3507.623</v>
      </c>
      <c r="P38" s="23">
        <f t="shared" si="20"/>
        <v>4532.5749999999998</v>
      </c>
      <c r="Q38" s="23">
        <f t="shared" si="20"/>
        <v>4543.6660000000002</v>
      </c>
      <c r="R38" s="23">
        <f t="shared" si="20"/>
        <v>4299.6549999999997</v>
      </c>
      <c r="S38" s="23">
        <f t="shared" si="20"/>
        <v>5338.78</v>
      </c>
      <c r="T38" s="23">
        <f t="shared" si="20"/>
        <v>4288.8249999999998</v>
      </c>
      <c r="U38" s="23">
        <f t="shared" si="20"/>
        <v>0</v>
      </c>
      <c r="V38" s="23">
        <f t="shared" si="20"/>
        <v>4288.8249999999998</v>
      </c>
      <c r="W38" s="23">
        <f t="shared" si="20"/>
        <v>0</v>
      </c>
      <c r="X38" s="23">
        <f t="shared" si="20"/>
        <v>4253.1350000000002</v>
      </c>
      <c r="Y38" s="23">
        <f t="shared" si="20"/>
        <v>0</v>
      </c>
      <c r="Z38" s="23">
        <f t="shared" si="20"/>
        <v>4110.8249999999998</v>
      </c>
      <c r="AA38" s="23">
        <f t="shared" si="20"/>
        <v>0</v>
      </c>
      <c r="AB38" s="23">
        <f t="shared" si="20"/>
        <v>4094.5250000000001</v>
      </c>
      <c r="AC38" s="23">
        <f t="shared" si="20"/>
        <v>0</v>
      </c>
      <c r="AD38" s="23">
        <f t="shared" si="20"/>
        <v>6097.2870000000003</v>
      </c>
      <c r="AE38" s="23">
        <f t="shared" si="20"/>
        <v>0</v>
      </c>
      <c r="AF38" s="109" t="s">
        <v>66</v>
      </c>
      <c r="AG38" s="22"/>
      <c r="AH38" s="14"/>
      <c r="AI38" s="14"/>
      <c r="AJ38" s="14"/>
    </row>
    <row r="39" spans="1:36" s="4" customFormat="1" ht="26.25" customHeight="1">
      <c r="A39" s="28" t="s">
        <v>34</v>
      </c>
      <c r="B39" s="24">
        <f>SUM(H39:AD39)</f>
        <v>0</v>
      </c>
      <c r="C39" s="24">
        <f t="shared" ref="C39:C78" si="21">H39</f>
        <v>0</v>
      </c>
      <c r="D39" s="24">
        <f t="shared" si="4"/>
        <v>0</v>
      </c>
      <c r="E39" s="24">
        <f t="shared" si="5"/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/>
      <c r="V39" s="24">
        <v>0</v>
      </c>
      <c r="W39" s="24"/>
      <c r="X39" s="24">
        <v>0</v>
      </c>
      <c r="Y39" s="24"/>
      <c r="Z39" s="24">
        <v>0</v>
      </c>
      <c r="AA39" s="24"/>
      <c r="AB39" s="24">
        <v>0</v>
      </c>
      <c r="AC39" s="24"/>
      <c r="AD39" s="24">
        <v>0</v>
      </c>
      <c r="AE39" s="50"/>
      <c r="AF39" s="110"/>
      <c r="AG39" s="22"/>
      <c r="AH39" s="14"/>
      <c r="AI39" s="14"/>
      <c r="AJ39" s="14"/>
    </row>
    <row r="40" spans="1:36" s="4" customFormat="1" ht="22.5" customHeight="1">
      <c r="A40" s="28" t="s">
        <v>13</v>
      </c>
      <c r="B40" s="24">
        <f>SUM(H40:AD40)</f>
        <v>0</v>
      </c>
      <c r="C40" s="24">
        <f t="shared" si="21"/>
        <v>0</v>
      </c>
      <c r="D40" s="24">
        <f t="shared" si="4"/>
        <v>0</v>
      </c>
      <c r="E40" s="24">
        <f t="shared" si="5"/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/>
      <c r="V40" s="24">
        <v>0</v>
      </c>
      <c r="W40" s="24"/>
      <c r="X40" s="24">
        <v>0</v>
      </c>
      <c r="Y40" s="24"/>
      <c r="Z40" s="24">
        <v>0</v>
      </c>
      <c r="AA40" s="24"/>
      <c r="AB40" s="24">
        <v>0</v>
      </c>
      <c r="AC40" s="24"/>
      <c r="AD40" s="24">
        <v>0</v>
      </c>
      <c r="AE40" s="50"/>
      <c r="AF40" s="110"/>
      <c r="AG40" s="22"/>
      <c r="AH40" s="14"/>
      <c r="AI40" s="14"/>
      <c r="AJ40" s="14"/>
    </row>
    <row r="41" spans="1:36" s="4" customFormat="1" ht="27" customHeight="1">
      <c r="A41" s="28" t="s">
        <v>14</v>
      </c>
      <c r="B41" s="24">
        <f>H41+J41+L41+N41+P41+R41+T41+V41+X41+Z41+AB41+AD41</f>
        <v>50743</v>
      </c>
      <c r="C41" s="24">
        <f>H41+J41+L41+N41+P41+R41</f>
        <v>23609.577999999998</v>
      </c>
      <c r="D41" s="24">
        <f>E41</f>
        <v>22220.202999999998</v>
      </c>
      <c r="E41" s="24">
        <f>I41+K41+M41+O41+Q41+S41+U41+W41+Y41+AA41+AC41+AE41</f>
        <v>22220.202999999998</v>
      </c>
      <c r="F41" s="24">
        <f t="shared" si="1"/>
        <v>43.789691188932458</v>
      </c>
      <c r="G41" s="24">
        <f t="shared" si="2"/>
        <v>94.115206125242906</v>
      </c>
      <c r="H41" s="27">
        <f>2091761/1000</f>
        <v>2091.761</v>
      </c>
      <c r="I41" s="27">
        <v>1717.69</v>
      </c>
      <c r="J41" s="27">
        <f>4194525/1000</f>
        <v>4194.5249999999996</v>
      </c>
      <c r="K41" s="27">
        <v>3683.4630000000002</v>
      </c>
      <c r="L41" s="27">
        <f>4245463/1000</f>
        <v>4245.4629999999997</v>
      </c>
      <c r="M41" s="27">
        <v>3428.9810000000002</v>
      </c>
      <c r="N41" s="27">
        <f>4245599/1000</f>
        <v>4245.5990000000002</v>
      </c>
      <c r="O41" s="27">
        <v>3507.623</v>
      </c>
      <c r="P41" s="27">
        <f>4532575/1000</f>
        <v>4532.5749999999998</v>
      </c>
      <c r="Q41" s="27">
        <v>4543.6660000000002</v>
      </c>
      <c r="R41" s="27">
        <f>4299655/1000</f>
        <v>4299.6549999999997</v>
      </c>
      <c r="S41" s="27">
        <v>5338.78</v>
      </c>
      <c r="T41" s="27">
        <f>4288825/1000</f>
        <v>4288.8249999999998</v>
      </c>
      <c r="U41" s="27"/>
      <c r="V41" s="27">
        <f>4288825/1000</f>
        <v>4288.8249999999998</v>
      </c>
      <c r="W41" s="27"/>
      <c r="X41" s="27">
        <f>4253135/1000</f>
        <v>4253.1350000000002</v>
      </c>
      <c r="Y41" s="27"/>
      <c r="Z41" s="27">
        <f>4110825/1000</f>
        <v>4110.8249999999998</v>
      </c>
      <c r="AA41" s="27"/>
      <c r="AB41" s="27">
        <f>4094525/1000</f>
        <v>4094.5250000000001</v>
      </c>
      <c r="AC41" s="27"/>
      <c r="AD41" s="27">
        <f>6097287/1000</f>
        <v>6097.2870000000003</v>
      </c>
      <c r="AE41" s="50"/>
      <c r="AF41" s="111"/>
      <c r="AG41" s="22"/>
      <c r="AH41" s="14"/>
      <c r="AI41" s="14"/>
      <c r="AJ41" s="14"/>
    </row>
    <row r="42" spans="1:36" s="4" customFormat="1" ht="57.75" customHeight="1">
      <c r="A42" s="57" t="s">
        <v>38</v>
      </c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0"/>
      <c r="AF42" s="47"/>
      <c r="AG42" s="22"/>
      <c r="AH42" s="14"/>
      <c r="AI42" s="14"/>
      <c r="AJ42" s="14"/>
    </row>
    <row r="43" spans="1:36" s="4" customFormat="1" ht="25.5" customHeight="1">
      <c r="A43" s="25" t="s">
        <v>15</v>
      </c>
      <c r="B43" s="23">
        <f>B44+B45+B46</f>
        <v>296.60000000000002</v>
      </c>
      <c r="C43" s="23">
        <f>C44+C45+C46</f>
        <v>184.4</v>
      </c>
      <c r="D43" s="23">
        <f>D44+D45+D46</f>
        <v>184.4</v>
      </c>
      <c r="E43" s="23">
        <f>E44+E45+E46</f>
        <v>184.4</v>
      </c>
      <c r="F43" s="23">
        <f t="shared" si="1"/>
        <v>62.171274443695211</v>
      </c>
      <c r="G43" s="23">
        <f t="shared" si="2"/>
        <v>100</v>
      </c>
      <c r="H43" s="23">
        <f>SUM(H44:H46)</f>
        <v>0</v>
      </c>
      <c r="I43" s="23">
        <f>SUM(I44:I46)</f>
        <v>0</v>
      </c>
      <c r="J43" s="23">
        <f t="shared" ref="J43:AE43" si="22">SUM(J44:J46)</f>
        <v>137.9</v>
      </c>
      <c r="K43" s="23">
        <f t="shared" si="22"/>
        <v>0</v>
      </c>
      <c r="L43" s="23">
        <f t="shared" si="22"/>
        <v>46.5</v>
      </c>
      <c r="M43" s="23">
        <f t="shared" si="22"/>
        <v>137.9</v>
      </c>
      <c r="N43" s="23">
        <f t="shared" si="22"/>
        <v>0</v>
      </c>
      <c r="O43" s="23">
        <f t="shared" si="22"/>
        <v>0</v>
      </c>
      <c r="P43" s="23">
        <f t="shared" si="22"/>
        <v>0</v>
      </c>
      <c r="Q43" s="23">
        <f t="shared" si="22"/>
        <v>46.5</v>
      </c>
      <c r="R43" s="23">
        <f t="shared" si="22"/>
        <v>0</v>
      </c>
      <c r="S43" s="23">
        <f t="shared" si="22"/>
        <v>0</v>
      </c>
      <c r="T43" s="23">
        <f t="shared" si="22"/>
        <v>0</v>
      </c>
      <c r="U43" s="23">
        <f t="shared" si="22"/>
        <v>0</v>
      </c>
      <c r="V43" s="23">
        <f t="shared" si="22"/>
        <v>0</v>
      </c>
      <c r="W43" s="23">
        <f t="shared" si="22"/>
        <v>0</v>
      </c>
      <c r="X43" s="23">
        <f t="shared" si="22"/>
        <v>112.2</v>
      </c>
      <c r="Y43" s="23">
        <f t="shared" si="22"/>
        <v>0</v>
      </c>
      <c r="Z43" s="23">
        <f t="shared" si="22"/>
        <v>0</v>
      </c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23">
        <f t="shared" si="22"/>
        <v>0</v>
      </c>
      <c r="AE43" s="23">
        <f t="shared" si="22"/>
        <v>0</v>
      </c>
      <c r="AF43" s="109" t="s">
        <v>63</v>
      </c>
      <c r="AG43" s="22"/>
      <c r="AH43" s="14"/>
      <c r="AI43" s="14"/>
      <c r="AJ43" s="14"/>
    </row>
    <row r="44" spans="1:36" s="4" customFormat="1" ht="25.5" customHeight="1">
      <c r="A44" s="28" t="s">
        <v>34</v>
      </c>
      <c r="B44" s="24">
        <f>H44++J44+L44+N44+P44+R44+T44+V44+X44+Z44+AB44+AD44</f>
        <v>0</v>
      </c>
      <c r="C44" s="24">
        <f>H44</f>
        <v>0</v>
      </c>
      <c r="D44" s="24">
        <f t="shared" si="4"/>
        <v>0</v>
      </c>
      <c r="E44" s="24">
        <f>I44+K44+M44+O44+Q44+S44+U44+W44+Y44+AA44+AC44+AE44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/>
      <c r="V44" s="24">
        <v>0</v>
      </c>
      <c r="W44" s="24"/>
      <c r="X44" s="24">
        <v>0</v>
      </c>
      <c r="Y44" s="24"/>
      <c r="Z44" s="24">
        <v>0</v>
      </c>
      <c r="AA44" s="24"/>
      <c r="AB44" s="24">
        <v>0</v>
      </c>
      <c r="AC44" s="24"/>
      <c r="AD44" s="24">
        <v>0</v>
      </c>
      <c r="AE44" s="50"/>
      <c r="AF44" s="110"/>
      <c r="AG44" s="22"/>
      <c r="AH44" s="14"/>
      <c r="AI44" s="14"/>
      <c r="AJ44" s="14"/>
    </row>
    <row r="45" spans="1:36" s="6" customFormat="1" ht="24.75" customHeight="1">
      <c r="A45" s="28" t="s">
        <v>13</v>
      </c>
      <c r="B45" s="24">
        <f t="shared" ref="B45:B46" si="23">H45++J45+L45+N45+P45+R45+T45+V45+X45+Z45+AB45+AD45</f>
        <v>0</v>
      </c>
      <c r="C45" s="24">
        <f t="shared" ref="C45" si="24">H45</f>
        <v>0</v>
      </c>
      <c r="D45" s="24">
        <f t="shared" si="4"/>
        <v>0</v>
      </c>
      <c r="E45" s="24">
        <f t="shared" si="5"/>
        <v>0</v>
      </c>
      <c r="F45" s="24">
        <v>0</v>
      </c>
      <c r="G45" s="24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/>
      <c r="V45" s="27">
        <v>0</v>
      </c>
      <c r="W45" s="27"/>
      <c r="X45" s="27">
        <v>0</v>
      </c>
      <c r="Y45" s="27"/>
      <c r="Z45" s="27">
        <v>0</v>
      </c>
      <c r="AA45" s="27"/>
      <c r="AB45" s="27">
        <v>0</v>
      </c>
      <c r="AC45" s="27"/>
      <c r="AD45" s="27">
        <v>0</v>
      </c>
      <c r="AE45" s="52"/>
      <c r="AF45" s="110"/>
      <c r="AG45" s="29"/>
      <c r="AH45" s="14"/>
      <c r="AI45" s="14"/>
      <c r="AJ45" s="14"/>
    </row>
    <row r="46" spans="1:36" s="4" customFormat="1" ht="29.25" customHeight="1">
      <c r="A46" s="28" t="s">
        <v>14</v>
      </c>
      <c r="B46" s="24">
        <f t="shared" si="23"/>
        <v>296.60000000000002</v>
      </c>
      <c r="C46" s="24">
        <f>H46+J46+L46+N46+P46+R46</f>
        <v>184.4</v>
      </c>
      <c r="D46" s="24">
        <f>E46</f>
        <v>184.4</v>
      </c>
      <c r="E46" s="24">
        <f>I46+K46+M46+O46+Q46+S46+U46+W46+Y46+AA46+AC46+AE46</f>
        <v>184.4</v>
      </c>
      <c r="F46" s="24">
        <f t="shared" si="1"/>
        <v>62.171274443695211</v>
      </c>
      <c r="G46" s="24">
        <f t="shared" si="2"/>
        <v>100</v>
      </c>
      <c r="H46" s="27">
        <v>0</v>
      </c>
      <c r="I46" s="27">
        <v>0</v>
      </c>
      <c r="J46" s="27">
        <f>137900/1000</f>
        <v>137.9</v>
      </c>
      <c r="K46" s="27">
        <v>0</v>
      </c>
      <c r="L46" s="27">
        <f>46500/1000</f>
        <v>46.5</v>
      </c>
      <c r="M46" s="27">
        <v>137.9</v>
      </c>
      <c r="N46" s="27">
        <v>0</v>
      </c>
      <c r="O46" s="27">
        <v>0</v>
      </c>
      <c r="P46" s="27">
        <v>0</v>
      </c>
      <c r="Q46" s="27">
        <v>46.5</v>
      </c>
      <c r="R46" s="27">
        <v>0</v>
      </c>
      <c r="S46" s="27">
        <v>0</v>
      </c>
      <c r="T46" s="27">
        <v>0</v>
      </c>
      <c r="U46" s="27"/>
      <c r="V46" s="27">
        <v>0</v>
      </c>
      <c r="W46" s="27"/>
      <c r="X46" s="27">
        <f>112200/1000</f>
        <v>112.2</v>
      </c>
      <c r="Y46" s="27"/>
      <c r="Z46" s="27">
        <v>0</v>
      </c>
      <c r="AA46" s="27"/>
      <c r="AB46" s="27">
        <v>0</v>
      </c>
      <c r="AC46" s="27"/>
      <c r="AD46" s="27">
        <v>0</v>
      </c>
      <c r="AE46" s="50"/>
      <c r="AF46" s="111"/>
      <c r="AG46" s="22"/>
      <c r="AH46" s="14"/>
      <c r="AI46" s="14"/>
      <c r="AJ46" s="14"/>
    </row>
    <row r="47" spans="1:36" s="4" customFormat="1" ht="139.5" customHeight="1">
      <c r="A47" s="25" t="s">
        <v>61</v>
      </c>
      <c r="B47" s="24"/>
      <c r="C47" s="23"/>
      <c r="D47" s="23"/>
      <c r="E47" s="23"/>
      <c r="F47" s="23"/>
      <c r="G47" s="2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50"/>
      <c r="AF47" s="47"/>
      <c r="AG47" s="22"/>
      <c r="AH47" s="14"/>
      <c r="AI47" s="14"/>
      <c r="AJ47" s="14"/>
    </row>
    <row r="48" spans="1:36" s="4" customFormat="1" ht="27" customHeight="1">
      <c r="A48" s="25" t="s">
        <v>15</v>
      </c>
      <c r="B48" s="23">
        <f>B50+B56</f>
        <v>155929.30614</v>
      </c>
      <c r="C48" s="23">
        <f>C50+C56</f>
        <v>13865.306140000001</v>
      </c>
      <c r="D48" s="23">
        <f>E48</f>
        <v>5907.18</v>
      </c>
      <c r="E48" s="23">
        <f>E50+E56</f>
        <v>5907.18</v>
      </c>
      <c r="F48" s="23">
        <f t="shared" si="1"/>
        <v>3.7883706060336606</v>
      </c>
      <c r="G48" s="23">
        <f t="shared" si="2"/>
        <v>42.604035860112646</v>
      </c>
      <c r="H48" s="21">
        <f>H50+H56</f>
        <v>0</v>
      </c>
      <c r="I48" s="21">
        <f>I50+I56</f>
        <v>0</v>
      </c>
      <c r="J48" s="21">
        <f t="shared" ref="J48:AE48" si="25">J50+J56</f>
        <v>0</v>
      </c>
      <c r="K48" s="21">
        <f t="shared" si="25"/>
        <v>0</v>
      </c>
      <c r="L48" s="21">
        <f t="shared" si="25"/>
        <v>0</v>
      </c>
      <c r="M48" s="21">
        <f t="shared" si="25"/>
        <v>0</v>
      </c>
      <c r="N48" s="21">
        <f t="shared" si="25"/>
        <v>3500</v>
      </c>
      <c r="O48" s="21">
        <f t="shared" si="25"/>
        <v>3500</v>
      </c>
      <c r="P48" s="21">
        <f t="shared" si="25"/>
        <v>0</v>
      </c>
      <c r="Q48" s="21">
        <f t="shared" si="25"/>
        <v>0</v>
      </c>
      <c r="R48" s="21">
        <f t="shared" si="25"/>
        <v>10365.306140000001</v>
      </c>
      <c r="S48" s="21">
        <f t="shared" si="25"/>
        <v>2407.1799999999998</v>
      </c>
      <c r="T48" s="21">
        <f t="shared" si="25"/>
        <v>0</v>
      </c>
      <c r="U48" s="21">
        <f t="shared" si="25"/>
        <v>0</v>
      </c>
      <c r="V48" s="21">
        <f t="shared" si="25"/>
        <v>0</v>
      </c>
      <c r="W48" s="21">
        <f t="shared" si="25"/>
        <v>0</v>
      </c>
      <c r="X48" s="21">
        <f t="shared" si="25"/>
        <v>0</v>
      </c>
      <c r="Y48" s="21">
        <f t="shared" si="25"/>
        <v>0</v>
      </c>
      <c r="Z48" s="21">
        <f t="shared" si="25"/>
        <v>0</v>
      </c>
      <c r="AA48" s="21">
        <f t="shared" si="25"/>
        <v>0</v>
      </c>
      <c r="AB48" s="21">
        <f t="shared" si="25"/>
        <v>0</v>
      </c>
      <c r="AC48" s="21">
        <f t="shared" si="25"/>
        <v>0</v>
      </c>
      <c r="AD48" s="21">
        <f t="shared" si="25"/>
        <v>142064</v>
      </c>
      <c r="AE48" s="21">
        <f t="shared" si="25"/>
        <v>0</v>
      </c>
      <c r="AF48" s="47"/>
      <c r="AG48" s="22"/>
      <c r="AH48" s="14"/>
      <c r="AI48" s="14"/>
      <c r="AJ48" s="14"/>
    </row>
    <row r="49" spans="1:36" s="4" customFormat="1" ht="58.5" customHeight="1">
      <c r="A49" s="28" t="s">
        <v>48</v>
      </c>
      <c r="B49" s="24"/>
      <c r="C49" s="23"/>
      <c r="D49" s="23"/>
      <c r="E49" s="23"/>
      <c r="F49" s="23"/>
      <c r="G49" s="2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50"/>
      <c r="AF49" s="109" t="s">
        <v>69</v>
      </c>
      <c r="AG49" s="22"/>
      <c r="AH49" s="14"/>
      <c r="AI49" s="14"/>
      <c r="AJ49" s="14"/>
    </row>
    <row r="50" spans="1:36" s="4" customFormat="1" ht="23.25" customHeight="1">
      <c r="A50" s="25" t="s">
        <v>15</v>
      </c>
      <c r="B50" s="23">
        <f>B51+B52+B53+B54</f>
        <v>148929.30614</v>
      </c>
      <c r="C50" s="23">
        <f t="shared" ref="C50" si="26">C51+C52+C53+C54</f>
        <v>10365.306140000001</v>
      </c>
      <c r="D50" s="23">
        <f>D51+D52+D53+D54</f>
        <v>2407.1799999999998</v>
      </c>
      <c r="E50" s="23">
        <f>E51+E52+E53+E54</f>
        <v>2407.1799999999998</v>
      </c>
      <c r="F50" s="23">
        <f t="shared" si="1"/>
        <v>1.6163239206507456</v>
      </c>
      <c r="G50" s="23">
        <f t="shared" si="2"/>
        <v>23.223433707477543</v>
      </c>
      <c r="H50" s="21">
        <f>SUM(H51:H54)</f>
        <v>0</v>
      </c>
      <c r="I50" s="21">
        <f>I51+I52+I53+I54</f>
        <v>0</v>
      </c>
      <c r="J50" s="21">
        <f t="shared" ref="J50:AE50" si="27">J51+J52+J53+J54</f>
        <v>0</v>
      </c>
      <c r="K50" s="21">
        <f t="shared" si="27"/>
        <v>0</v>
      </c>
      <c r="L50" s="21">
        <f t="shared" si="27"/>
        <v>0</v>
      </c>
      <c r="M50" s="21">
        <f t="shared" si="27"/>
        <v>0</v>
      </c>
      <c r="N50" s="21">
        <f t="shared" si="27"/>
        <v>0</v>
      </c>
      <c r="O50" s="21">
        <f t="shared" si="27"/>
        <v>0</v>
      </c>
      <c r="P50" s="21">
        <f t="shared" si="27"/>
        <v>0</v>
      </c>
      <c r="Q50" s="21">
        <f t="shared" si="27"/>
        <v>0</v>
      </c>
      <c r="R50" s="21">
        <f t="shared" si="27"/>
        <v>10365.306140000001</v>
      </c>
      <c r="S50" s="21">
        <f t="shared" si="27"/>
        <v>2407.1799999999998</v>
      </c>
      <c r="T50" s="21">
        <f t="shared" si="27"/>
        <v>0</v>
      </c>
      <c r="U50" s="21">
        <f t="shared" si="27"/>
        <v>0</v>
      </c>
      <c r="V50" s="21">
        <f t="shared" si="27"/>
        <v>0</v>
      </c>
      <c r="W50" s="21">
        <f t="shared" si="27"/>
        <v>0</v>
      </c>
      <c r="X50" s="21">
        <f t="shared" si="27"/>
        <v>0</v>
      </c>
      <c r="Y50" s="21">
        <f t="shared" si="27"/>
        <v>0</v>
      </c>
      <c r="Z50" s="21">
        <f t="shared" si="27"/>
        <v>0</v>
      </c>
      <c r="AA50" s="21">
        <f t="shared" si="27"/>
        <v>0</v>
      </c>
      <c r="AB50" s="21">
        <f t="shared" si="27"/>
        <v>0</v>
      </c>
      <c r="AC50" s="21">
        <f t="shared" si="27"/>
        <v>0</v>
      </c>
      <c r="AD50" s="21">
        <f t="shared" si="27"/>
        <v>138564</v>
      </c>
      <c r="AE50" s="21">
        <f t="shared" si="27"/>
        <v>0</v>
      </c>
      <c r="AF50" s="112"/>
      <c r="AG50" s="22"/>
      <c r="AH50" s="14"/>
      <c r="AI50" s="14"/>
      <c r="AJ50" s="14"/>
    </row>
    <row r="51" spans="1:36" s="4" customFormat="1" ht="25.5" customHeight="1">
      <c r="A51" s="28" t="s">
        <v>34</v>
      </c>
      <c r="B51" s="24">
        <f>H51+J51+L51+N51+P51+R51+T51+V51+X51+Z51+AB51+AD51</f>
        <v>0</v>
      </c>
      <c r="C51" s="24">
        <f>H51</f>
        <v>0</v>
      </c>
      <c r="D51" s="24">
        <f>E51</f>
        <v>0</v>
      </c>
      <c r="E51" s="24">
        <f>I51+K51+M51+O51+Q51+S51+U51+W51+Y51+AA51+AC51+AE51</f>
        <v>0</v>
      </c>
      <c r="F51" s="24">
        <v>0</v>
      </c>
      <c r="G51" s="24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/>
      <c r="V51" s="27">
        <v>0</v>
      </c>
      <c r="W51" s="27"/>
      <c r="X51" s="27">
        <v>0</v>
      </c>
      <c r="Y51" s="27"/>
      <c r="Z51" s="27">
        <v>0</v>
      </c>
      <c r="AA51" s="27"/>
      <c r="AB51" s="27">
        <v>0</v>
      </c>
      <c r="AC51" s="27"/>
      <c r="AD51" s="27">
        <v>0</v>
      </c>
      <c r="AE51" s="50"/>
      <c r="AF51" s="112"/>
      <c r="AG51" s="22"/>
      <c r="AH51" s="14"/>
      <c r="AI51" s="14"/>
      <c r="AJ51" s="14"/>
    </row>
    <row r="52" spans="1:36" s="4" customFormat="1" ht="25.5" customHeight="1">
      <c r="A52" s="28" t="s">
        <v>13</v>
      </c>
      <c r="B52" s="24">
        <f t="shared" ref="B52:B53" si="28">H52+J52+L52+N52+P52+R52+T52+V52+X52+Z52+AB52+AD52</f>
        <v>0</v>
      </c>
      <c r="C52" s="24">
        <f t="shared" ref="C52:C53" si="29">H52</f>
        <v>0</v>
      </c>
      <c r="D52" s="24">
        <f t="shared" ref="D52:D53" si="30">E52</f>
        <v>0</v>
      </c>
      <c r="E52" s="24">
        <f t="shared" si="5"/>
        <v>0</v>
      </c>
      <c r="F52" s="24">
        <v>0</v>
      </c>
      <c r="G52" s="24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/>
      <c r="V52" s="27">
        <v>0</v>
      </c>
      <c r="W52" s="27"/>
      <c r="X52" s="27">
        <v>0</v>
      </c>
      <c r="Y52" s="27"/>
      <c r="Z52" s="27">
        <v>0</v>
      </c>
      <c r="AA52" s="27"/>
      <c r="AB52" s="27">
        <v>0</v>
      </c>
      <c r="AC52" s="27"/>
      <c r="AD52" s="27">
        <v>0</v>
      </c>
      <c r="AE52" s="50"/>
      <c r="AF52" s="112"/>
      <c r="AG52" s="22"/>
      <c r="AH52" s="14"/>
      <c r="AI52" s="14"/>
      <c r="AJ52" s="14"/>
    </row>
    <row r="53" spans="1:36" s="4" customFormat="1" ht="25.5" customHeight="1">
      <c r="A53" s="28" t="s">
        <v>14</v>
      </c>
      <c r="B53" s="24">
        <f t="shared" si="28"/>
        <v>0</v>
      </c>
      <c r="C53" s="24">
        <f t="shared" si="29"/>
        <v>0</v>
      </c>
      <c r="D53" s="24">
        <f t="shared" si="30"/>
        <v>0</v>
      </c>
      <c r="E53" s="24">
        <f t="shared" si="5"/>
        <v>0</v>
      </c>
      <c r="F53" s="24">
        <v>0</v>
      </c>
      <c r="G53" s="24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/>
      <c r="V53" s="27">
        <v>0</v>
      </c>
      <c r="W53" s="27"/>
      <c r="X53" s="27">
        <v>0</v>
      </c>
      <c r="Y53" s="27"/>
      <c r="Z53" s="27">
        <v>0</v>
      </c>
      <c r="AA53" s="27"/>
      <c r="AB53" s="27">
        <v>0</v>
      </c>
      <c r="AC53" s="27"/>
      <c r="AD53" s="27">
        <v>0</v>
      </c>
      <c r="AE53" s="50"/>
      <c r="AF53" s="112"/>
      <c r="AG53" s="22"/>
      <c r="AH53" s="14"/>
      <c r="AI53" s="14"/>
      <c r="AJ53" s="14"/>
    </row>
    <row r="54" spans="1:36" s="4" customFormat="1" ht="25.5" customHeight="1">
      <c r="A54" s="28" t="s">
        <v>26</v>
      </c>
      <c r="B54" s="24">
        <f>H54+J54+L54+N54+P54+R54+T54+V54+X54+Z54+AB54+AD54</f>
        <v>148929.30614</v>
      </c>
      <c r="C54" s="24">
        <f>H54+J54+L54+N54+P54+R54</f>
        <v>10365.306140000001</v>
      </c>
      <c r="D54" s="24">
        <f>E54</f>
        <v>2407.1799999999998</v>
      </c>
      <c r="E54" s="24">
        <f>I54+K54+M54+O54+Q54+S54+U54+W54+Y54+AA54+AC54+AE54</f>
        <v>2407.1799999999998</v>
      </c>
      <c r="F54" s="24">
        <f t="shared" si="1"/>
        <v>1.6163239206507456</v>
      </c>
      <c r="G54" s="24">
        <f t="shared" si="2"/>
        <v>23.223433707477543</v>
      </c>
      <c r="H54" s="56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(2407182.14+7958124)/1000</f>
        <v>10365.306140000001</v>
      </c>
      <c r="S54" s="27">
        <v>2407.1799999999998</v>
      </c>
      <c r="T54" s="27">
        <v>0</v>
      </c>
      <c r="U54" s="27"/>
      <c r="V54" s="27">
        <v>0</v>
      </c>
      <c r="W54" s="27"/>
      <c r="X54" s="27">
        <v>0</v>
      </c>
      <c r="Y54" s="27"/>
      <c r="Z54" s="27">
        <v>0</v>
      </c>
      <c r="AA54" s="27"/>
      <c r="AB54" s="27">
        <v>0</v>
      </c>
      <c r="AC54" s="27"/>
      <c r="AD54" s="27">
        <v>138564</v>
      </c>
      <c r="AE54" s="50"/>
      <c r="AF54" s="113"/>
      <c r="AG54" s="22"/>
      <c r="AH54" s="14"/>
      <c r="AI54" s="14"/>
      <c r="AJ54" s="14"/>
    </row>
    <row r="55" spans="1:36" s="4" customFormat="1" ht="37.5" customHeight="1">
      <c r="A55" s="28" t="s">
        <v>49</v>
      </c>
      <c r="B55" s="24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50"/>
      <c r="AF55" s="117" t="s">
        <v>57</v>
      </c>
      <c r="AG55" s="22"/>
      <c r="AH55" s="14"/>
      <c r="AI55" s="14"/>
      <c r="AJ55" s="14"/>
    </row>
    <row r="56" spans="1:36" s="4" customFormat="1" ht="27" customHeight="1">
      <c r="A56" s="25" t="s">
        <v>15</v>
      </c>
      <c r="B56" s="23">
        <f>B57+B58+B59+B60</f>
        <v>7000</v>
      </c>
      <c r="C56" s="23">
        <f>C57+C58+C59+C60</f>
        <v>3500</v>
      </c>
      <c r="D56" s="23">
        <f t="shared" ref="D56" si="31">D57+D58+D59+D60</f>
        <v>3500</v>
      </c>
      <c r="E56" s="23">
        <f>E57+E58+E59+E60</f>
        <v>3500</v>
      </c>
      <c r="F56" s="23">
        <f t="shared" si="1"/>
        <v>50</v>
      </c>
      <c r="G56" s="23">
        <f t="shared" si="2"/>
        <v>100</v>
      </c>
      <c r="H56" s="21">
        <f>H57+H58+H59+H60</f>
        <v>0</v>
      </c>
      <c r="I56" s="21">
        <f t="shared" ref="I56:AE56" si="32">I57+I58+I59+I60</f>
        <v>0</v>
      </c>
      <c r="J56" s="21">
        <f t="shared" si="32"/>
        <v>0</v>
      </c>
      <c r="K56" s="21">
        <f t="shared" si="32"/>
        <v>0</v>
      </c>
      <c r="L56" s="21">
        <f t="shared" si="32"/>
        <v>0</v>
      </c>
      <c r="M56" s="21">
        <f t="shared" si="32"/>
        <v>0</v>
      </c>
      <c r="N56" s="21">
        <f t="shared" si="32"/>
        <v>3500</v>
      </c>
      <c r="O56" s="21">
        <f t="shared" si="32"/>
        <v>3500</v>
      </c>
      <c r="P56" s="21">
        <f t="shared" si="32"/>
        <v>0</v>
      </c>
      <c r="Q56" s="21">
        <f t="shared" si="32"/>
        <v>0</v>
      </c>
      <c r="R56" s="21">
        <f t="shared" si="32"/>
        <v>0</v>
      </c>
      <c r="S56" s="21">
        <f t="shared" si="32"/>
        <v>0</v>
      </c>
      <c r="T56" s="21">
        <f t="shared" si="32"/>
        <v>0</v>
      </c>
      <c r="U56" s="21">
        <f t="shared" si="32"/>
        <v>0</v>
      </c>
      <c r="V56" s="21">
        <f t="shared" si="32"/>
        <v>0</v>
      </c>
      <c r="W56" s="21">
        <f t="shared" si="32"/>
        <v>0</v>
      </c>
      <c r="X56" s="21">
        <f t="shared" si="32"/>
        <v>0</v>
      </c>
      <c r="Y56" s="21">
        <f t="shared" si="32"/>
        <v>0</v>
      </c>
      <c r="Z56" s="21">
        <f t="shared" si="32"/>
        <v>0</v>
      </c>
      <c r="AA56" s="21">
        <f t="shared" si="32"/>
        <v>0</v>
      </c>
      <c r="AB56" s="21">
        <f t="shared" si="32"/>
        <v>0</v>
      </c>
      <c r="AC56" s="21">
        <f t="shared" si="32"/>
        <v>0</v>
      </c>
      <c r="AD56" s="21">
        <f t="shared" si="32"/>
        <v>3500</v>
      </c>
      <c r="AE56" s="21">
        <f t="shared" si="32"/>
        <v>0</v>
      </c>
      <c r="AF56" s="118"/>
      <c r="AG56" s="22"/>
      <c r="AH56" s="14"/>
      <c r="AI56" s="14"/>
      <c r="AJ56" s="14"/>
    </row>
    <row r="57" spans="1:36" s="4" customFormat="1" ht="25.5" customHeight="1">
      <c r="A57" s="28" t="s">
        <v>34</v>
      </c>
      <c r="B57" s="24">
        <f>H57+J57+L57+N57+P57+R57+T57+V57+X57+Z57+AB57+AD57</f>
        <v>0</v>
      </c>
      <c r="C57" s="24">
        <f>H57</f>
        <v>0</v>
      </c>
      <c r="D57" s="24">
        <f>E57</f>
        <v>0</v>
      </c>
      <c r="E57" s="24">
        <f>I57+K57+M57+O57+Q57+S57+U57+W57+Y57+AA57+AC57+AE57</f>
        <v>0</v>
      </c>
      <c r="F57" s="24">
        <v>0</v>
      </c>
      <c r="G57" s="24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/>
      <c r="V57" s="27">
        <v>0</v>
      </c>
      <c r="W57" s="27"/>
      <c r="X57" s="27">
        <v>0</v>
      </c>
      <c r="Y57" s="27"/>
      <c r="Z57" s="27">
        <v>0</v>
      </c>
      <c r="AA57" s="27"/>
      <c r="AB57" s="27">
        <v>0</v>
      </c>
      <c r="AC57" s="27"/>
      <c r="AD57" s="27">
        <v>0</v>
      </c>
      <c r="AE57" s="50"/>
      <c r="AF57" s="118"/>
      <c r="AG57" s="22"/>
      <c r="AH57" s="14"/>
      <c r="AI57" s="14"/>
      <c r="AJ57" s="14"/>
    </row>
    <row r="58" spans="1:36" s="4" customFormat="1" ht="25.5" customHeight="1">
      <c r="A58" s="28" t="s">
        <v>13</v>
      </c>
      <c r="B58" s="24">
        <f t="shared" ref="B58:B59" si="33">H58+J58+L58+N58+P58+R58+T58+V58+X58+Z58+AB58+AD58</f>
        <v>0</v>
      </c>
      <c r="C58" s="24">
        <f t="shared" ref="C58:C59" si="34">H58</f>
        <v>0</v>
      </c>
      <c r="D58" s="24">
        <f t="shared" ref="D58:D60" si="35">E58</f>
        <v>0</v>
      </c>
      <c r="E58" s="24">
        <f t="shared" ref="E58:E60" si="36">I58+K58+M58+O58+Q58+S58+U58+W58+Y58+AA58+AC58+AE58</f>
        <v>0</v>
      </c>
      <c r="F58" s="24">
        <v>0</v>
      </c>
      <c r="G58" s="24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/>
      <c r="V58" s="27">
        <v>0</v>
      </c>
      <c r="W58" s="27"/>
      <c r="X58" s="27">
        <v>0</v>
      </c>
      <c r="Y58" s="27"/>
      <c r="Z58" s="27">
        <v>0</v>
      </c>
      <c r="AA58" s="27"/>
      <c r="AB58" s="27">
        <v>0</v>
      </c>
      <c r="AC58" s="27"/>
      <c r="AD58" s="27">
        <v>0</v>
      </c>
      <c r="AE58" s="50"/>
      <c r="AF58" s="118"/>
      <c r="AG58" s="22"/>
      <c r="AH58" s="14"/>
      <c r="AI58" s="14"/>
      <c r="AJ58" s="14"/>
    </row>
    <row r="59" spans="1:36" s="4" customFormat="1" ht="25.5" customHeight="1">
      <c r="A59" s="28" t="s">
        <v>14</v>
      </c>
      <c r="B59" s="24">
        <f t="shared" si="33"/>
        <v>0</v>
      </c>
      <c r="C59" s="24">
        <f t="shared" si="34"/>
        <v>0</v>
      </c>
      <c r="D59" s="24">
        <f t="shared" si="35"/>
        <v>0</v>
      </c>
      <c r="E59" s="24">
        <f t="shared" si="36"/>
        <v>0</v>
      </c>
      <c r="F59" s="24">
        <v>0</v>
      </c>
      <c r="G59" s="24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/>
      <c r="V59" s="27">
        <v>0</v>
      </c>
      <c r="W59" s="27"/>
      <c r="X59" s="27">
        <v>0</v>
      </c>
      <c r="Y59" s="27"/>
      <c r="Z59" s="27">
        <v>0</v>
      </c>
      <c r="AA59" s="27"/>
      <c r="AB59" s="27">
        <v>0</v>
      </c>
      <c r="AC59" s="27"/>
      <c r="AD59" s="27">
        <v>0</v>
      </c>
      <c r="AE59" s="50"/>
      <c r="AF59" s="118"/>
      <c r="AG59" s="22"/>
      <c r="AH59" s="14"/>
      <c r="AI59" s="14"/>
      <c r="AJ59" s="14"/>
    </row>
    <row r="60" spans="1:36" s="4" customFormat="1" ht="25.5" customHeight="1">
      <c r="A60" s="28" t="s">
        <v>26</v>
      </c>
      <c r="B60" s="24">
        <f>H60+J60+L60+N60+P60+R60+T60+V60+X60+Z60+AB60+AD60</f>
        <v>7000</v>
      </c>
      <c r="C60" s="24">
        <f>H60+J60+L60+N60+P60+R60</f>
        <v>3500</v>
      </c>
      <c r="D60" s="24">
        <f t="shared" si="35"/>
        <v>3500</v>
      </c>
      <c r="E60" s="24">
        <f t="shared" si="36"/>
        <v>3500</v>
      </c>
      <c r="F60" s="24">
        <f t="shared" si="1"/>
        <v>50</v>
      </c>
      <c r="G60" s="24">
        <f t="shared" si="2"/>
        <v>100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3500</v>
      </c>
      <c r="O60" s="27">
        <v>3500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/>
      <c r="V60" s="27">
        <v>0</v>
      </c>
      <c r="W60" s="27"/>
      <c r="X60" s="27">
        <v>0</v>
      </c>
      <c r="Y60" s="27"/>
      <c r="Z60" s="27">
        <v>0</v>
      </c>
      <c r="AA60" s="27"/>
      <c r="AB60" s="27">
        <v>0</v>
      </c>
      <c r="AC60" s="27"/>
      <c r="AD60" s="27">
        <v>3500</v>
      </c>
      <c r="AE60" s="50"/>
      <c r="AF60" s="119"/>
      <c r="AG60" s="22"/>
      <c r="AH60" s="14"/>
      <c r="AI60" s="14"/>
      <c r="AJ60" s="14"/>
    </row>
    <row r="61" spans="1:36" s="4" customFormat="1" ht="25.5" customHeight="1">
      <c r="A61" s="28" t="s">
        <v>62</v>
      </c>
      <c r="B61" s="24"/>
      <c r="C61" s="24"/>
      <c r="D61" s="24"/>
      <c r="E61" s="24"/>
      <c r="F61" s="24"/>
      <c r="G61" s="2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50"/>
      <c r="AF61" s="80"/>
      <c r="AG61" s="22"/>
      <c r="AH61" s="14"/>
      <c r="AI61" s="14"/>
      <c r="AJ61" s="14"/>
    </row>
    <row r="62" spans="1:36" s="4" customFormat="1" ht="25.5" customHeight="1">
      <c r="A62" s="25" t="s">
        <v>15</v>
      </c>
      <c r="B62" s="23">
        <f>B63+B64+B65</f>
        <v>4370.3</v>
      </c>
      <c r="C62" s="23">
        <f>C63+C64+C65</f>
        <v>0</v>
      </c>
      <c r="D62" s="23">
        <f t="shared" ref="D62:D64" si="37">E62</f>
        <v>0</v>
      </c>
      <c r="E62" s="23">
        <f>E63+E64+E65</f>
        <v>0</v>
      </c>
      <c r="F62" s="23">
        <f t="shared" si="1"/>
        <v>0</v>
      </c>
      <c r="G62" s="23" t="e">
        <f t="shared" si="2"/>
        <v>#DIV/0!</v>
      </c>
      <c r="H62" s="21">
        <f>H63+H64+H65</f>
        <v>0</v>
      </c>
      <c r="I62" s="21">
        <f t="shared" ref="I62:AE62" si="38">I63+I64+I65</f>
        <v>0</v>
      </c>
      <c r="J62" s="21">
        <f t="shared" si="38"/>
        <v>0</v>
      </c>
      <c r="K62" s="21">
        <f t="shared" si="38"/>
        <v>0</v>
      </c>
      <c r="L62" s="21">
        <f t="shared" si="38"/>
        <v>0</v>
      </c>
      <c r="M62" s="21">
        <f t="shared" si="38"/>
        <v>0</v>
      </c>
      <c r="N62" s="21">
        <f t="shared" si="38"/>
        <v>0</v>
      </c>
      <c r="O62" s="21">
        <f t="shared" si="38"/>
        <v>0</v>
      </c>
      <c r="P62" s="21">
        <f t="shared" si="38"/>
        <v>0</v>
      </c>
      <c r="Q62" s="21">
        <f t="shared" si="38"/>
        <v>0</v>
      </c>
      <c r="R62" s="21">
        <f t="shared" si="38"/>
        <v>0</v>
      </c>
      <c r="S62" s="21">
        <f t="shared" si="38"/>
        <v>0</v>
      </c>
      <c r="T62" s="21">
        <f t="shared" si="38"/>
        <v>0</v>
      </c>
      <c r="U62" s="21">
        <f t="shared" si="38"/>
        <v>0</v>
      </c>
      <c r="V62" s="21">
        <f t="shared" si="38"/>
        <v>4370.3</v>
      </c>
      <c r="W62" s="21">
        <f t="shared" si="38"/>
        <v>0</v>
      </c>
      <c r="X62" s="21">
        <f t="shared" si="38"/>
        <v>0</v>
      </c>
      <c r="Y62" s="21">
        <f t="shared" si="38"/>
        <v>0</v>
      </c>
      <c r="Z62" s="21">
        <f t="shared" si="38"/>
        <v>0</v>
      </c>
      <c r="AA62" s="21">
        <f t="shared" si="38"/>
        <v>0</v>
      </c>
      <c r="AB62" s="21">
        <f t="shared" si="38"/>
        <v>0</v>
      </c>
      <c r="AC62" s="21">
        <f t="shared" si="38"/>
        <v>0</v>
      </c>
      <c r="AD62" s="21">
        <f t="shared" si="38"/>
        <v>0</v>
      </c>
      <c r="AE62" s="21">
        <f t="shared" si="38"/>
        <v>0</v>
      </c>
      <c r="AF62" s="80"/>
      <c r="AG62" s="22"/>
      <c r="AH62" s="14"/>
      <c r="AI62" s="14"/>
      <c r="AJ62" s="14"/>
    </row>
    <row r="63" spans="1:36" s="4" customFormat="1" ht="25.5" customHeight="1">
      <c r="A63" s="28" t="s">
        <v>34</v>
      </c>
      <c r="B63" s="24">
        <f t="shared" ref="B63:B64" si="39">H63+J63+L63+N63+P63+R63+T63+V63+X63+Z63+AB63+AD63</f>
        <v>0</v>
      </c>
      <c r="C63" s="24">
        <f t="shared" ref="C63:C64" si="40">H63+J63+L63+N63+P63</f>
        <v>0</v>
      </c>
      <c r="D63" s="24">
        <f t="shared" si="37"/>
        <v>0</v>
      </c>
      <c r="E63" s="24">
        <f t="shared" ref="E63:E64" si="41">I63+K63+M63+O63+Q63+S63+U63+W63+Y63+AA63+AC63+AE63</f>
        <v>0</v>
      </c>
      <c r="F63" s="24">
        <v>0</v>
      </c>
      <c r="G63" s="24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80"/>
      <c r="AG63" s="22"/>
      <c r="AH63" s="14"/>
      <c r="AI63" s="14"/>
      <c r="AJ63" s="14"/>
    </row>
    <row r="64" spans="1:36" s="4" customFormat="1" ht="25.5" customHeight="1">
      <c r="A64" s="28" t="s">
        <v>13</v>
      </c>
      <c r="B64" s="24">
        <f t="shared" si="39"/>
        <v>0</v>
      </c>
      <c r="C64" s="24">
        <f t="shared" si="40"/>
        <v>0</v>
      </c>
      <c r="D64" s="24">
        <f t="shared" si="37"/>
        <v>0</v>
      </c>
      <c r="E64" s="24">
        <f t="shared" si="41"/>
        <v>0</v>
      </c>
      <c r="F64" s="24">
        <v>0</v>
      </c>
      <c r="G64" s="24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80"/>
      <c r="AG64" s="22"/>
      <c r="AH64" s="14"/>
      <c r="AI64" s="14"/>
      <c r="AJ64" s="14"/>
    </row>
    <row r="65" spans="1:43" s="4" customFormat="1" ht="25.5" customHeight="1">
      <c r="A65" s="28" t="s">
        <v>14</v>
      </c>
      <c r="B65" s="24">
        <f>H65+J65+L65+N65+P65+R65+T65+V65+X65+Z65+AB65+AD65</f>
        <v>4370.3</v>
      </c>
      <c r="C65" s="24">
        <f>H65+J65+L65+N65+P65+R65</f>
        <v>0</v>
      </c>
      <c r="D65" s="24">
        <f>E65</f>
        <v>0</v>
      </c>
      <c r="E65" s="24">
        <f>I65+K65+M65+O65+Q65+S65+U65+W65+Y65+AA65+AC65+AE65</f>
        <v>0</v>
      </c>
      <c r="F65" s="24">
        <f t="shared" si="1"/>
        <v>0</v>
      </c>
      <c r="G65" s="24" t="e">
        <f t="shared" si="2"/>
        <v>#DIV/0!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4370.3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80" t="s">
        <v>68</v>
      </c>
      <c r="AG65" s="22"/>
      <c r="AH65" s="14"/>
      <c r="AI65" s="14"/>
      <c r="AJ65" s="14"/>
    </row>
    <row r="66" spans="1:43" s="4" customFormat="1" ht="63" customHeight="1">
      <c r="A66" s="25" t="s">
        <v>22</v>
      </c>
      <c r="B66" s="23">
        <f>B69</f>
        <v>3894.2000000000003</v>
      </c>
      <c r="C66" s="23">
        <f t="shared" si="21"/>
        <v>504.4</v>
      </c>
      <c r="D66" s="23">
        <f t="shared" si="4"/>
        <v>2295.17</v>
      </c>
      <c r="E66" s="23">
        <f>E69</f>
        <v>2295.17</v>
      </c>
      <c r="F66" s="23">
        <f>E66/B66*100</f>
        <v>58.938164449694419</v>
      </c>
      <c r="G66" s="23">
        <f t="shared" si="2"/>
        <v>455.02973830293422</v>
      </c>
      <c r="H66" s="23">
        <f>H69</f>
        <v>504.4</v>
      </c>
      <c r="I66" s="23">
        <f t="shared" ref="I66:AE66" si="42">I69</f>
        <v>224.64</v>
      </c>
      <c r="J66" s="23">
        <f t="shared" si="42"/>
        <v>799.65</v>
      </c>
      <c r="K66" s="23">
        <f t="shared" si="42"/>
        <v>638.94000000000005</v>
      </c>
      <c r="L66" s="23">
        <f t="shared" si="42"/>
        <v>554.70000000000005</v>
      </c>
      <c r="M66" s="23">
        <f t="shared" si="42"/>
        <v>454.55</v>
      </c>
      <c r="N66" s="23">
        <f t="shared" si="42"/>
        <v>514.79999999999995</v>
      </c>
      <c r="O66" s="23">
        <f t="shared" si="42"/>
        <v>483.97</v>
      </c>
      <c r="P66" s="23">
        <f t="shared" si="42"/>
        <v>611.9</v>
      </c>
      <c r="Q66" s="23">
        <f t="shared" si="42"/>
        <v>384.67</v>
      </c>
      <c r="R66" s="23">
        <f t="shared" si="42"/>
        <v>8.5</v>
      </c>
      <c r="S66" s="23">
        <f t="shared" si="42"/>
        <v>108.4</v>
      </c>
      <c r="T66" s="23">
        <f t="shared" si="42"/>
        <v>0</v>
      </c>
      <c r="U66" s="23">
        <f t="shared" si="42"/>
        <v>0</v>
      </c>
      <c r="V66" s="23">
        <f t="shared" si="42"/>
        <v>0</v>
      </c>
      <c r="W66" s="23">
        <f t="shared" si="42"/>
        <v>0</v>
      </c>
      <c r="X66" s="23">
        <f t="shared" si="42"/>
        <v>371.75</v>
      </c>
      <c r="Y66" s="23">
        <f t="shared" si="42"/>
        <v>0</v>
      </c>
      <c r="Z66" s="23">
        <f t="shared" si="42"/>
        <v>247.2</v>
      </c>
      <c r="AA66" s="23">
        <f t="shared" si="42"/>
        <v>0</v>
      </c>
      <c r="AB66" s="23">
        <f>AB69</f>
        <v>281.3</v>
      </c>
      <c r="AC66" s="23">
        <f t="shared" si="42"/>
        <v>0</v>
      </c>
      <c r="AD66" s="23">
        <f t="shared" si="42"/>
        <v>0</v>
      </c>
      <c r="AE66" s="23">
        <f t="shared" si="42"/>
        <v>0</v>
      </c>
      <c r="AF66" s="47"/>
      <c r="AG66" s="22"/>
      <c r="AH66" s="14"/>
      <c r="AI66" s="14"/>
      <c r="AJ66" s="14"/>
    </row>
    <row r="67" spans="1:43" s="4" customFormat="1" ht="39.75" customHeight="1">
      <c r="A67" s="106" t="s">
        <v>54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8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81"/>
      <c r="AG67" s="22"/>
      <c r="AH67" s="14"/>
      <c r="AI67" s="14"/>
      <c r="AJ67" s="14"/>
    </row>
    <row r="68" spans="1:43" s="4" customFormat="1" ht="96" customHeight="1">
      <c r="A68" s="57" t="s">
        <v>39</v>
      </c>
      <c r="B68" s="23"/>
      <c r="C68" s="23"/>
      <c r="D68" s="23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50"/>
      <c r="AF68" s="109"/>
      <c r="AG68" s="22"/>
      <c r="AH68" s="14"/>
      <c r="AI68" s="14"/>
      <c r="AJ68" s="14"/>
    </row>
    <row r="69" spans="1:43" s="4" customFormat="1" ht="27.75" customHeight="1">
      <c r="A69" s="72" t="s">
        <v>15</v>
      </c>
      <c r="B69" s="23">
        <f>B70+B71+B72</f>
        <v>3894.2000000000003</v>
      </c>
      <c r="C69" s="23">
        <f>C70+C71+C72</f>
        <v>2993.9500000000003</v>
      </c>
      <c r="D69" s="23">
        <f>D70+D71+D72</f>
        <v>2295.17</v>
      </c>
      <c r="E69" s="23">
        <f>E70+E71+E72</f>
        <v>2295.17</v>
      </c>
      <c r="F69" s="23">
        <f t="shared" si="1"/>
        <v>58.938164449694419</v>
      </c>
      <c r="G69" s="23">
        <f t="shared" si="2"/>
        <v>76.660264867482752</v>
      </c>
      <c r="H69" s="21">
        <f>H71+H72+H70</f>
        <v>504.4</v>
      </c>
      <c r="I69" s="21">
        <f>I71+I72+I70</f>
        <v>224.64</v>
      </c>
      <c r="J69" s="21">
        <f t="shared" ref="J69:AE69" si="43">J71+J72+J70</f>
        <v>799.65</v>
      </c>
      <c r="K69" s="21">
        <f t="shared" si="43"/>
        <v>638.94000000000005</v>
      </c>
      <c r="L69" s="21">
        <f t="shared" si="43"/>
        <v>554.70000000000005</v>
      </c>
      <c r="M69" s="21">
        <f t="shared" si="43"/>
        <v>454.55</v>
      </c>
      <c r="N69" s="21">
        <f t="shared" si="43"/>
        <v>514.79999999999995</v>
      </c>
      <c r="O69" s="21">
        <f t="shared" si="43"/>
        <v>483.97</v>
      </c>
      <c r="P69" s="21">
        <f t="shared" si="43"/>
        <v>611.9</v>
      </c>
      <c r="Q69" s="21">
        <f t="shared" si="43"/>
        <v>384.67</v>
      </c>
      <c r="R69" s="21">
        <f t="shared" si="43"/>
        <v>8.5</v>
      </c>
      <c r="S69" s="21">
        <f t="shared" si="43"/>
        <v>108.4</v>
      </c>
      <c r="T69" s="21">
        <f t="shared" si="43"/>
        <v>0</v>
      </c>
      <c r="U69" s="21">
        <f t="shared" si="43"/>
        <v>0</v>
      </c>
      <c r="V69" s="21">
        <f t="shared" si="43"/>
        <v>0</v>
      </c>
      <c r="W69" s="21">
        <f t="shared" si="43"/>
        <v>0</v>
      </c>
      <c r="X69" s="21">
        <f t="shared" si="43"/>
        <v>371.75</v>
      </c>
      <c r="Y69" s="21">
        <f t="shared" si="43"/>
        <v>0</v>
      </c>
      <c r="Z69" s="21">
        <f t="shared" si="43"/>
        <v>247.2</v>
      </c>
      <c r="AA69" s="21">
        <f t="shared" si="43"/>
        <v>0</v>
      </c>
      <c r="AB69" s="21">
        <f t="shared" si="43"/>
        <v>281.3</v>
      </c>
      <c r="AC69" s="21">
        <f t="shared" si="43"/>
        <v>0</v>
      </c>
      <c r="AD69" s="21">
        <f t="shared" si="43"/>
        <v>0</v>
      </c>
      <c r="AE69" s="21">
        <f t="shared" si="43"/>
        <v>0</v>
      </c>
      <c r="AF69" s="110"/>
      <c r="AG69" s="22"/>
      <c r="AH69" s="14"/>
      <c r="AI69" s="14"/>
      <c r="AJ69" s="14"/>
    </row>
    <row r="70" spans="1:43" s="4" customFormat="1" ht="27.75" customHeight="1">
      <c r="A70" s="58" t="s">
        <v>34</v>
      </c>
      <c r="B70" s="24">
        <f t="shared" ref="B70:B71" si="44">H70+J70+L70+N70+P70+R70+T70+V70+X70+Z70+AB70+AD70</f>
        <v>0</v>
      </c>
      <c r="C70" s="24">
        <f>H70+J70</f>
        <v>0</v>
      </c>
      <c r="D70" s="24">
        <f t="shared" si="4"/>
        <v>0</v>
      </c>
      <c r="E70" s="24">
        <f t="shared" si="5"/>
        <v>0</v>
      </c>
      <c r="F70" s="24">
        <v>0</v>
      </c>
      <c r="G70" s="24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/>
      <c r="V70" s="27">
        <v>0</v>
      </c>
      <c r="W70" s="27"/>
      <c r="X70" s="27">
        <v>0</v>
      </c>
      <c r="Y70" s="27"/>
      <c r="Z70" s="27">
        <v>0</v>
      </c>
      <c r="AA70" s="27"/>
      <c r="AB70" s="27">
        <v>0</v>
      </c>
      <c r="AC70" s="27"/>
      <c r="AD70" s="27">
        <v>0</v>
      </c>
      <c r="AE70" s="50"/>
      <c r="AF70" s="110"/>
      <c r="AG70" s="22"/>
      <c r="AH70" s="14"/>
      <c r="AI70" s="14"/>
      <c r="AJ70" s="14"/>
    </row>
    <row r="71" spans="1:43" s="4" customFormat="1" ht="24.75" customHeight="1">
      <c r="A71" s="58" t="s">
        <v>13</v>
      </c>
      <c r="B71" s="24">
        <f t="shared" si="44"/>
        <v>0</v>
      </c>
      <c r="C71" s="24">
        <f t="shared" ref="C71" si="45">H71+J71</f>
        <v>0</v>
      </c>
      <c r="D71" s="24">
        <f t="shared" si="4"/>
        <v>0</v>
      </c>
      <c r="E71" s="24">
        <f t="shared" si="5"/>
        <v>0</v>
      </c>
      <c r="F71" s="24">
        <v>0</v>
      </c>
      <c r="G71" s="24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/>
      <c r="V71" s="27">
        <v>0</v>
      </c>
      <c r="W71" s="27"/>
      <c r="X71" s="27">
        <v>0</v>
      </c>
      <c r="Y71" s="27"/>
      <c r="Z71" s="27">
        <v>0</v>
      </c>
      <c r="AA71" s="27"/>
      <c r="AB71" s="27">
        <v>0</v>
      </c>
      <c r="AC71" s="27"/>
      <c r="AD71" s="27">
        <v>0</v>
      </c>
      <c r="AE71" s="50"/>
      <c r="AF71" s="110"/>
      <c r="AG71" s="22"/>
      <c r="AH71" s="14"/>
      <c r="AI71" s="14"/>
      <c r="AJ71" s="14"/>
    </row>
    <row r="72" spans="1:43" s="4" customFormat="1" ht="99.75" customHeight="1">
      <c r="A72" s="67" t="s">
        <v>14</v>
      </c>
      <c r="B72" s="24">
        <f>H72+J72+L72+N72+P72+R72+T72+V72+X72+Z72+AB72+AD72</f>
        <v>3894.2000000000003</v>
      </c>
      <c r="C72" s="24">
        <f>H72+J72+L72+N72+P72+R72</f>
        <v>2993.9500000000003</v>
      </c>
      <c r="D72" s="24">
        <f>E72</f>
        <v>2295.17</v>
      </c>
      <c r="E72" s="24">
        <f>I72+K72+M72+O72+Q72+S72+U72+W72+Y72+AA72+AC72+AE72</f>
        <v>2295.17</v>
      </c>
      <c r="F72" s="24">
        <f t="shared" si="1"/>
        <v>58.938164449694419</v>
      </c>
      <c r="G72" s="24">
        <f t="shared" si="2"/>
        <v>76.660264867482752</v>
      </c>
      <c r="H72" s="27">
        <f>504400/1000</f>
        <v>504.4</v>
      </c>
      <c r="I72" s="27">
        <v>224.64</v>
      </c>
      <c r="J72" s="27">
        <f>799650/1000</f>
        <v>799.65</v>
      </c>
      <c r="K72" s="27">
        <v>638.94000000000005</v>
      </c>
      <c r="L72" s="27">
        <f>554700/1000</f>
        <v>554.70000000000005</v>
      </c>
      <c r="M72" s="27">
        <v>454.55</v>
      </c>
      <c r="N72" s="27">
        <f>514800/1000</f>
        <v>514.79999999999995</v>
      </c>
      <c r="O72" s="27">
        <v>483.97</v>
      </c>
      <c r="P72" s="27">
        <f>611900/1000</f>
        <v>611.9</v>
      </c>
      <c r="Q72" s="27">
        <v>384.67</v>
      </c>
      <c r="R72" s="27">
        <f>8500/1000</f>
        <v>8.5</v>
      </c>
      <c r="S72" s="27">
        <v>108.4</v>
      </c>
      <c r="T72" s="27">
        <v>0</v>
      </c>
      <c r="U72" s="27"/>
      <c r="V72" s="27">
        <v>0</v>
      </c>
      <c r="W72" s="27"/>
      <c r="X72" s="27">
        <f>371750/1000</f>
        <v>371.75</v>
      </c>
      <c r="Y72" s="27"/>
      <c r="Z72" s="27">
        <f>247200/1000</f>
        <v>247.2</v>
      </c>
      <c r="AA72" s="27"/>
      <c r="AB72" s="27">
        <f>281300/1000</f>
        <v>281.3</v>
      </c>
      <c r="AC72" s="27"/>
      <c r="AD72" s="27">
        <v>0</v>
      </c>
      <c r="AE72" s="50"/>
      <c r="AF72" s="111"/>
      <c r="AG72" s="22"/>
      <c r="AH72" s="14"/>
      <c r="AI72" s="14"/>
      <c r="AJ72" s="14"/>
    </row>
    <row r="73" spans="1:43" s="7" customFormat="1" ht="40.5" customHeight="1">
      <c r="A73" s="68" t="s">
        <v>33</v>
      </c>
      <c r="B73" s="21">
        <f>B76</f>
        <v>7549.1</v>
      </c>
      <c r="C73" s="21">
        <f t="shared" ref="C73:AE73" si="46">C76</f>
        <v>4818.2420000000002</v>
      </c>
      <c r="D73" s="21">
        <f t="shared" si="46"/>
        <v>6106.8651300000001</v>
      </c>
      <c r="E73" s="21">
        <f t="shared" si="46"/>
        <v>6106.8651300000001</v>
      </c>
      <c r="F73" s="21">
        <f t="shared" si="46"/>
        <v>80.895274006172926</v>
      </c>
      <c r="G73" s="21">
        <f t="shared" si="46"/>
        <v>126.74467430237004</v>
      </c>
      <c r="H73" s="21">
        <f t="shared" si="46"/>
        <v>1517.576</v>
      </c>
      <c r="I73" s="21">
        <f t="shared" si="46"/>
        <v>1156.3460600000001</v>
      </c>
      <c r="J73" s="21">
        <f t="shared" si="46"/>
        <v>736.96500000000003</v>
      </c>
      <c r="K73" s="21">
        <f t="shared" si="46"/>
        <v>1011.2737499999999</v>
      </c>
      <c r="L73" s="21">
        <f t="shared" si="46"/>
        <v>360.81299999999999</v>
      </c>
      <c r="M73" s="21">
        <f t="shared" si="46"/>
        <v>368.24189000000001</v>
      </c>
      <c r="N73" s="21">
        <f t="shared" si="46"/>
        <v>567.12800000000004</v>
      </c>
      <c r="O73" s="21">
        <f t="shared" si="46"/>
        <v>622.39879000000008</v>
      </c>
      <c r="P73" s="21">
        <f t="shared" si="46"/>
        <v>580.51700000000005</v>
      </c>
      <c r="Q73" s="21">
        <f t="shared" si="46"/>
        <v>558.12764000000004</v>
      </c>
      <c r="R73" s="21">
        <f t="shared" si="46"/>
        <v>1055.2429999999999</v>
      </c>
      <c r="S73" s="21">
        <f t="shared" si="46"/>
        <v>2390.4769999999999</v>
      </c>
      <c r="T73" s="21">
        <f t="shared" si="46"/>
        <v>705.87699999999995</v>
      </c>
      <c r="U73" s="21">
        <f t="shared" si="46"/>
        <v>0</v>
      </c>
      <c r="V73" s="21">
        <f t="shared" si="46"/>
        <v>583.64</v>
      </c>
      <c r="W73" s="21">
        <f t="shared" si="46"/>
        <v>0</v>
      </c>
      <c r="X73" s="21">
        <f t="shared" si="46"/>
        <v>256.67</v>
      </c>
      <c r="Y73" s="21">
        <f t="shared" si="46"/>
        <v>0</v>
      </c>
      <c r="Z73" s="21">
        <f t="shared" si="46"/>
        <v>521.03399999999999</v>
      </c>
      <c r="AA73" s="21">
        <f t="shared" si="46"/>
        <v>0</v>
      </c>
      <c r="AB73" s="21">
        <f t="shared" si="46"/>
        <v>231.78</v>
      </c>
      <c r="AC73" s="21">
        <f t="shared" si="46"/>
        <v>0</v>
      </c>
      <c r="AD73" s="21">
        <f t="shared" si="46"/>
        <v>431.85700000000003</v>
      </c>
      <c r="AE73" s="21">
        <f t="shared" si="46"/>
        <v>0</v>
      </c>
      <c r="AF73" s="47"/>
      <c r="AG73" s="30"/>
      <c r="AH73" s="14"/>
      <c r="AI73" s="14"/>
      <c r="AJ73" s="14"/>
    </row>
    <row r="74" spans="1:43" s="7" customFormat="1" ht="29.25" customHeight="1">
      <c r="A74" s="103" t="s">
        <v>55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7"/>
      <c r="AG74" s="30"/>
      <c r="AH74" s="14"/>
      <c r="AI74" s="14"/>
      <c r="AJ74" s="14"/>
    </row>
    <row r="75" spans="1:43" s="7" customFormat="1" ht="59.25" customHeight="1">
      <c r="A75" s="57" t="s">
        <v>40</v>
      </c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50"/>
      <c r="AF75" s="47"/>
      <c r="AG75" s="30"/>
      <c r="AH75" s="14"/>
      <c r="AI75" s="14"/>
      <c r="AJ75" s="14"/>
    </row>
    <row r="76" spans="1:43" s="4" customFormat="1" ht="27" customHeight="1">
      <c r="A76" s="69" t="s">
        <v>15</v>
      </c>
      <c r="B76" s="23">
        <f>B78+B79+B77</f>
        <v>7549.1</v>
      </c>
      <c r="C76" s="23">
        <f>C78+C79+C77</f>
        <v>4818.2420000000002</v>
      </c>
      <c r="D76" s="23">
        <f t="shared" ref="D76:E76" si="47">D78+D79+D77</f>
        <v>6106.8651300000001</v>
      </c>
      <c r="E76" s="23">
        <f t="shared" si="47"/>
        <v>6106.8651300000001</v>
      </c>
      <c r="F76" s="23">
        <f t="shared" si="1"/>
        <v>80.895274006172926</v>
      </c>
      <c r="G76" s="23">
        <f t="shared" si="2"/>
        <v>126.74467430237004</v>
      </c>
      <c r="H76" s="23">
        <f>H78+H79+H77</f>
        <v>1517.576</v>
      </c>
      <c r="I76" s="23">
        <f t="shared" ref="I76:AE76" si="48">I78+I79+I77</f>
        <v>1156.3460600000001</v>
      </c>
      <c r="J76" s="23">
        <f t="shared" si="48"/>
        <v>736.96500000000003</v>
      </c>
      <c r="K76" s="23">
        <f t="shared" si="48"/>
        <v>1011.2737499999999</v>
      </c>
      <c r="L76" s="23">
        <f t="shared" si="48"/>
        <v>360.81299999999999</v>
      </c>
      <c r="M76" s="23">
        <f t="shared" si="48"/>
        <v>368.24189000000001</v>
      </c>
      <c r="N76" s="23">
        <f t="shared" si="48"/>
        <v>567.12800000000004</v>
      </c>
      <c r="O76" s="23">
        <f t="shared" si="48"/>
        <v>622.39879000000008</v>
      </c>
      <c r="P76" s="23">
        <f t="shared" si="48"/>
        <v>580.51700000000005</v>
      </c>
      <c r="Q76" s="23">
        <f t="shared" si="48"/>
        <v>558.12764000000004</v>
      </c>
      <c r="R76" s="23">
        <f t="shared" si="48"/>
        <v>1055.2429999999999</v>
      </c>
      <c r="S76" s="23">
        <f t="shared" si="48"/>
        <v>2390.4769999999999</v>
      </c>
      <c r="T76" s="23">
        <f t="shared" si="48"/>
        <v>705.87699999999995</v>
      </c>
      <c r="U76" s="23">
        <f t="shared" si="48"/>
        <v>0</v>
      </c>
      <c r="V76" s="23">
        <f t="shared" si="48"/>
        <v>583.64</v>
      </c>
      <c r="W76" s="23">
        <f t="shared" si="48"/>
        <v>0</v>
      </c>
      <c r="X76" s="23">
        <f t="shared" si="48"/>
        <v>256.67</v>
      </c>
      <c r="Y76" s="23">
        <f t="shared" si="48"/>
        <v>0</v>
      </c>
      <c r="Z76" s="23">
        <f t="shared" si="48"/>
        <v>521.03399999999999</v>
      </c>
      <c r="AA76" s="23">
        <f t="shared" si="48"/>
        <v>0</v>
      </c>
      <c r="AB76" s="23">
        <f t="shared" si="48"/>
        <v>231.78</v>
      </c>
      <c r="AC76" s="23">
        <f t="shared" si="48"/>
        <v>0</v>
      </c>
      <c r="AD76" s="23">
        <f t="shared" si="48"/>
        <v>431.85700000000003</v>
      </c>
      <c r="AE76" s="23">
        <f t="shared" si="48"/>
        <v>0</v>
      </c>
      <c r="AF76" s="109" t="s">
        <v>50</v>
      </c>
      <c r="AG76" s="22"/>
      <c r="AH76" s="14"/>
      <c r="AI76" s="14"/>
      <c r="AJ76" s="14"/>
    </row>
    <row r="77" spans="1:43" s="4" customFormat="1" ht="27" customHeight="1">
      <c r="A77" s="67" t="s">
        <v>34</v>
      </c>
      <c r="B77" s="24">
        <f>H77+J77+L77+N77+P77+R77+T77+V77+X77+Z77+AB77+AD77</f>
        <v>0</v>
      </c>
      <c r="C77" s="24">
        <f>H77</f>
        <v>0</v>
      </c>
      <c r="D77" s="24">
        <f t="shared" si="4"/>
        <v>0</v>
      </c>
      <c r="E77" s="24">
        <f t="shared" si="5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/>
      <c r="V77" s="24">
        <v>0</v>
      </c>
      <c r="W77" s="24"/>
      <c r="X77" s="24">
        <v>0</v>
      </c>
      <c r="Y77" s="24"/>
      <c r="Z77" s="24">
        <v>0</v>
      </c>
      <c r="AA77" s="24"/>
      <c r="AB77" s="24">
        <v>0</v>
      </c>
      <c r="AC77" s="24"/>
      <c r="AD77" s="24">
        <v>0</v>
      </c>
      <c r="AE77" s="50"/>
      <c r="AF77" s="110"/>
      <c r="AG77" s="22"/>
      <c r="AH77" s="14"/>
      <c r="AI77" s="14"/>
      <c r="AJ77" s="14"/>
    </row>
    <row r="78" spans="1:43" s="4" customFormat="1" ht="25.5" customHeight="1">
      <c r="A78" s="58" t="s">
        <v>13</v>
      </c>
      <c r="B78" s="24">
        <f t="shared" ref="B78" si="49">H78+J78+L78+N78+P78+R78+T78+V78+X78+Z78+AB78+AD78</f>
        <v>0</v>
      </c>
      <c r="C78" s="24">
        <f t="shared" si="21"/>
        <v>0</v>
      </c>
      <c r="D78" s="24">
        <f t="shared" si="4"/>
        <v>0</v>
      </c>
      <c r="E78" s="24">
        <f t="shared" si="5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/>
      <c r="V78" s="24">
        <v>0</v>
      </c>
      <c r="W78" s="24"/>
      <c r="X78" s="24">
        <v>0</v>
      </c>
      <c r="Y78" s="24"/>
      <c r="Z78" s="24">
        <v>0</v>
      </c>
      <c r="AA78" s="24"/>
      <c r="AB78" s="24">
        <v>0</v>
      </c>
      <c r="AC78" s="24"/>
      <c r="AD78" s="24">
        <v>0</v>
      </c>
      <c r="AE78" s="50"/>
      <c r="AF78" s="110"/>
      <c r="AG78" s="22"/>
      <c r="AH78" s="14"/>
      <c r="AI78" s="14"/>
      <c r="AJ78" s="14"/>
    </row>
    <row r="79" spans="1:43" s="4" customFormat="1" ht="25.5" customHeight="1">
      <c r="A79" s="58" t="s">
        <v>14</v>
      </c>
      <c r="B79" s="24">
        <f>H79+J79+L79+N79+P79+R79+T79+V79+X79+Z79+AB79+AD79</f>
        <v>7549.1</v>
      </c>
      <c r="C79" s="24">
        <f>H79+J79+L79+N79+P79+R79</f>
        <v>4818.2420000000002</v>
      </c>
      <c r="D79" s="24">
        <f>E79</f>
        <v>6106.8651300000001</v>
      </c>
      <c r="E79" s="24">
        <f>I79+K79+M79+O79+Q79+S79+U79+W79+Y79+AA79+AC79+AE79</f>
        <v>6106.8651300000001</v>
      </c>
      <c r="F79" s="24">
        <f t="shared" si="1"/>
        <v>80.895274006172926</v>
      </c>
      <c r="G79" s="24">
        <f t="shared" si="2"/>
        <v>126.74467430237004</v>
      </c>
      <c r="H79" s="24">
        <f>1517576/1000</f>
        <v>1517.576</v>
      </c>
      <c r="I79" s="24">
        <f>1156346.06/1000</f>
        <v>1156.3460600000001</v>
      </c>
      <c r="J79" s="24">
        <f>736965/1000</f>
        <v>736.96500000000003</v>
      </c>
      <c r="K79" s="24">
        <f>1011273.75/1000</f>
        <v>1011.2737499999999</v>
      </c>
      <c r="L79" s="24">
        <f>360813/1000</f>
        <v>360.81299999999999</v>
      </c>
      <c r="M79" s="24">
        <f>368241.89/1000</f>
        <v>368.24189000000001</v>
      </c>
      <c r="N79" s="24">
        <f>567128/1000</f>
        <v>567.12800000000004</v>
      </c>
      <c r="O79" s="24">
        <f>622398.79/1000</f>
        <v>622.39879000000008</v>
      </c>
      <c r="P79" s="24">
        <f>580517/1000</f>
        <v>580.51700000000005</v>
      </c>
      <c r="Q79" s="24">
        <f>558127.64/1000</f>
        <v>558.12764000000004</v>
      </c>
      <c r="R79" s="24">
        <f>1055243/1000</f>
        <v>1055.2429999999999</v>
      </c>
      <c r="S79" s="24">
        <v>2390.4769999999999</v>
      </c>
      <c r="T79" s="24">
        <f>705877/1000</f>
        <v>705.87699999999995</v>
      </c>
      <c r="U79" s="24"/>
      <c r="V79" s="24">
        <f>583640/1000</f>
        <v>583.64</v>
      </c>
      <c r="W79" s="24"/>
      <c r="X79" s="24">
        <f>256670/1000</f>
        <v>256.67</v>
      </c>
      <c r="Y79" s="24"/>
      <c r="Z79" s="24">
        <f>521034/1000</f>
        <v>521.03399999999999</v>
      </c>
      <c r="AA79" s="24"/>
      <c r="AB79" s="24">
        <f>231780/1000</f>
        <v>231.78</v>
      </c>
      <c r="AC79" s="24"/>
      <c r="AD79" s="24">
        <f>431857/1000</f>
        <v>431.85700000000003</v>
      </c>
      <c r="AE79" s="50"/>
      <c r="AF79" s="111"/>
      <c r="AG79" s="22"/>
      <c r="AH79" s="14"/>
      <c r="AI79" s="14"/>
      <c r="AJ79" s="14"/>
    </row>
    <row r="80" spans="1:43" ht="26.25" customHeight="1">
      <c r="A80" s="59" t="s">
        <v>16</v>
      </c>
      <c r="B80" s="39">
        <f>B81+B82+B83+B85</f>
        <v>401347.54613999999</v>
      </c>
      <c r="C80" s="39">
        <f>C81+C82+C83+C85</f>
        <v>155585.51814</v>
      </c>
      <c r="D80" s="39">
        <f>D81+D82+D83+D85</f>
        <v>129832.46812999999</v>
      </c>
      <c r="E80" s="39">
        <f t="shared" ref="E80" si="50">E81+E82+E83+E85</f>
        <v>124557.31813</v>
      </c>
      <c r="F80" s="39">
        <f t="shared" si="1"/>
        <v>31.034777545781061</v>
      </c>
      <c r="G80" s="39">
        <f t="shared" si="2"/>
        <v>80.057141319489645</v>
      </c>
      <c r="H80" s="39">
        <f>H81+H82+H83+H85</f>
        <v>17201.732</v>
      </c>
      <c r="I80" s="39">
        <f t="shared" ref="I80:AE80" si="51">I81+I82+I83+I85</f>
        <v>9848.8360599999996</v>
      </c>
      <c r="J80" s="39">
        <f t="shared" si="51"/>
        <v>20405.519000000004</v>
      </c>
      <c r="K80" s="39">
        <f t="shared" si="51"/>
        <v>19994.686750000001</v>
      </c>
      <c r="L80" s="39">
        <f t="shared" si="51"/>
        <v>17683.624999999996</v>
      </c>
      <c r="M80" s="39">
        <f t="shared" si="51"/>
        <v>16252.232889999997</v>
      </c>
      <c r="N80" s="39">
        <f t="shared" si="51"/>
        <v>32582.260000000002</v>
      </c>
      <c r="O80" s="39">
        <f t="shared" si="51"/>
        <v>22451.751790000002</v>
      </c>
      <c r="P80" s="39">
        <f t="shared" si="51"/>
        <v>31566.662000000004</v>
      </c>
      <c r="Q80" s="39">
        <f t="shared" si="51"/>
        <v>26088.733639999999</v>
      </c>
      <c r="R80" s="39">
        <f>R81+R82+R83+R85</f>
        <v>36145.720140000005</v>
      </c>
      <c r="S80" s="39">
        <f t="shared" si="51"/>
        <v>29921.077000000001</v>
      </c>
      <c r="T80" s="39">
        <f t="shared" si="51"/>
        <v>17569.401000000002</v>
      </c>
      <c r="U80" s="39">
        <f t="shared" si="51"/>
        <v>0</v>
      </c>
      <c r="V80" s="39">
        <f t="shared" si="51"/>
        <v>18785.565999999999</v>
      </c>
      <c r="W80" s="39">
        <f t="shared" si="51"/>
        <v>0</v>
      </c>
      <c r="X80" s="39">
        <f t="shared" si="51"/>
        <v>14350.161000000002</v>
      </c>
      <c r="Y80" s="39">
        <f t="shared" si="51"/>
        <v>0</v>
      </c>
      <c r="Z80" s="39">
        <f t="shared" si="51"/>
        <v>18138.525000000001</v>
      </c>
      <c r="AA80" s="39">
        <f t="shared" si="51"/>
        <v>0</v>
      </c>
      <c r="AB80" s="39">
        <f t="shared" si="51"/>
        <v>16791.786</v>
      </c>
      <c r="AC80" s="39">
        <f t="shared" si="51"/>
        <v>0</v>
      </c>
      <c r="AD80" s="39">
        <f t="shared" si="51"/>
        <v>160126.58900000001</v>
      </c>
      <c r="AE80" s="39">
        <f t="shared" si="51"/>
        <v>0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>
      <c r="A81" s="60" t="s">
        <v>34</v>
      </c>
      <c r="B81" s="24">
        <f>H81+J81+L81+N81+P81+R81+T81+V81+X81+Z81+AB81+AD81</f>
        <v>0</v>
      </c>
      <c r="C81" s="24">
        <f>H81+J81+L81+N81+P81+R81</f>
        <v>0</v>
      </c>
      <c r="D81" s="24">
        <f>E81</f>
        <v>0</v>
      </c>
      <c r="E81" s="24">
        <f>I81+K81+M81+O81+Q81+S81+U81+W81+Y81+AA81+AC81+AE81</f>
        <v>0</v>
      </c>
      <c r="F81" s="24">
        <v>0</v>
      </c>
      <c r="G81" s="24">
        <v>0</v>
      </c>
      <c r="H81" s="24">
        <f t="shared" ref="H81:AE81" si="52">H14+H19+H24+H32+H39+H44+H70+H77</f>
        <v>0</v>
      </c>
      <c r="I81" s="24">
        <f t="shared" si="52"/>
        <v>0</v>
      </c>
      <c r="J81" s="24">
        <f t="shared" si="52"/>
        <v>0</v>
      </c>
      <c r="K81" s="24">
        <f t="shared" si="52"/>
        <v>0</v>
      </c>
      <c r="L81" s="24">
        <f t="shared" si="52"/>
        <v>0</v>
      </c>
      <c r="M81" s="24">
        <f t="shared" si="52"/>
        <v>0</v>
      </c>
      <c r="N81" s="24">
        <f t="shared" si="52"/>
        <v>0</v>
      </c>
      <c r="O81" s="24">
        <f t="shared" si="52"/>
        <v>0</v>
      </c>
      <c r="P81" s="24">
        <f t="shared" si="52"/>
        <v>0</v>
      </c>
      <c r="Q81" s="24">
        <f t="shared" si="52"/>
        <v>0</v>
      </c>
      <c r="R81" s="24">
        <f t="shared" si="52"/>
        <v>0</v>
      </c>
      <c r="S81" s="24">
        <f t="shared" si="52"/>
        <v>0</v>
      </c>
      <c r="T81" s="24">
        <f t="shared" si="52"/>
        <v>0</v>
      </c>
      <c r="U81" s="24">
        <f t="shared" si="52"/>
        <v>0</v>
      </c>
      <c r="V81" s="24">
        <f t="shared" si="52"/>
        <v>0</v>
      </c>
      <c r="W81" s="24">
        <f t="shared" si="52"/>
        <v>0</v>
      </c>
      <c r="X81" s="24">
        <f t="shared" si="52"/>
        <v>0</v>
      </c>
      <c r="Y81" s="24">
        <f t="shared" si="52"/>
        <v>0</v>
      </c>
      <c r="Z81" s="24">
        <f t="shared" si="52"/>
        <v>0</v>
      </c>
      <c r="AA81" s="24">
        <f t="shared" si="52"/>
        <v>0</v>
      </c>
      <c r="AB81" s="24">
        <f t="shared" si="52"/>
        <v>0</v>
      </c>
      <c r="AC81" s="24">
        <f t="shared" si="52"/>
        <v>0</v>
      </c>
      <c r="AD81" s="24">
        <f t="shared" si="52"/>
        <v>0</v>
      </c>
      <c r="AE81" s="24">
        <f t="shared" si="52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>
      <c r="A82" s="58" t="s">
        <v>13</v>
      </c>
      <c r="B82" s="24">
        <f>H82+J82+L82+N82+P82+R82+T82+V82+X82+Z82+AB82+AD82</f>
        <v>6155.4000000000005</v>
      </c>
      <c r="C82" s="83">
        <f t="shared" ref="C82:C85" si="53">H82+J82+L82+N82+P82+R82</f>
        <v>6120.6360000000004</v>
      </c>
      <c r="D82" s="83">
        <v>6120.64</v>
      </c>
      <c r="E82" s="24">
        <f>I82+K82+M82+O82+Q82+S82+U82+W82+Y82+AA82+AC82+AE82</f>
        <v>845.49</v>
      </c>
      <c r="F82" s="24">
        <f t="shared" si="1"/>
        <v>13.735744224583291</v>
      </c>
      <c r="G82" s="24">
        <f t="shared" si="2"/>
        <v>13.81376053076837</v>
      </c>
      <c r="H82" s="24">
        <f t="shared" ref="H82:AE82" si="54">H15+H20+H25+H33+H40+H45+H71+H78</f>
        <v>0</v>
      </c>
      <c r="I82" s="24">
        <f t="shared" si="54"/>
        <v>0</v>
      </c>
      <c r="J82" s="24">
        <f t="shared" si="54"/>
        <v>0</v>
      </c>
      <c r="K82" s="24">
        <f t="shared" si="54"/>
        <v>0</v>
      </c>
      <c r="L82" s="24">
        <f t="shared" si="54"/>
        <v>445.48700000000002</v>
      </c>
      <c r="M82" s="24">
        <f t="shared" si="54"/>
        <v>0</v>
      </c>
      <c r="N82" s="24">
        <f t="shared" si="54"/>
        <v>5000</v>
      </c>
      <c r="O82" s="24">
        <f t="shared" si="54"/>
        <v>0</v>
      </c>
      <c r="P82" s="24">
        <f t="shared" si="54"/>
        <v>400</v>
      </c>
      <c r="Q82" s="24">
        <f t="shared" si="54"/>
        <v>634.49</v>
      </c>
      <c r="R82" s="24">
        <f t="shared" si="54"/>
        <v>275.149</v>
      </c>
      <c r="S82" s="24">
        <f t="shared" si="54"/>
        <v>211</v>
      </c>
      <c r="T82" s="24">
        <f t="shared" si="54"/>
        <v>1.2010000000000001</v>
      </c>
      <c r="U82" s="24">
        <f t="shared" si="54"/>
        <v>0</v>
      </c>
      <c r="V82" s="24">
        <f t="shared" si="54"/>
        <v>0</v>
      </c>
      <c r="W82" s="24">
        <f t="shared" si="54"/>
        <v>0</v>
      </c>
      <c r="X82" s="24">
        <f t="shared" si="54"/>
        <v>33.563000000000002</v>
      </c>
      <c r="Y82" s="24">
        <f t="shared" si="54"/>
        <v>0</v>
      </c>
      <c r="Z82" s="24">
        <f t="shared" si="54"/>
        <v>0</v>
      </c>
      <c r="AA82" s="24">
        <f t="shared" si="54"/>
        <v>0</v>
      </c>
      <c r="AB82" s="24">
        <f t="shared" si="54"/>
        <v>0</v>
      </c>
      <c r="AC82" s="24">
        <f t="shared" si="54"/>
        <v>0</v>
      </c>
      <c r="AD82" s="24">
        <f t="shared" si="54"/>
        <v>0</v>
      </c>
      <c r="AE82" s="24">
        <f t="shared" si="54"/>
        <v>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>
      <c r="A83" s="58" t="s">
        <v>14</v>
      </c>
      <c r="B83" s="24">
        <f>H83+J83+L83+N83+P83+R83+T83+V83+X83+Z83+AB83+AD83</f>
        <v>239262.84</v>
      </c>
      <c r="C83" s="24">
        <f t="shared" si="53"/>
        <v>135599.576</v>
      </c>
      <c r="D83" s="24">
        <f>E83</f>
        <v>117804.64813</v>
      </c>
      <c r="E83" s="24">
        <f t="shared" si="5"/>
        <v>117804.64813</v>
      </c>
      <c r="F83" s="24">
        <f t="shared" si="1"/>
        <v>49.2364999638055</v>
      </c>
      <c r="G83" s="24">
        <f t="shared" si="2"/>
        <v>86.876855817012284</v>
      </c>
      <c r="H83" s="24">
        <f t="shared" ref="H83:U83" si="55">H16+H21+H26+H34+H41+H46+H72+H79+H29</f>
        <v>17201.732</v>
      </c>
      <c r="I83" s="24">
        <f t="shared" si="55"/>
        <v>9848.8360599999996</v>
      </c>
      <c r="J83" s="24">
        <f t="shared" si="55"/>
        <v>20405.519000000004</v>
      </c>
      <c r="K83" s="24">
        <f t="shared" si="55"/>
        <v>19994.686750000001</v>
      </c>
      <c r="L83" s="24">
        <f t="shared" si="55"/>
        <v>17238.137999999995</v>
      </c>
      <c r="M83" s="24">
        <f t="shared" si="55"/>
        <v>16252.232889999997</v>
      </c>
      <c r="N83" s="24">
        <f t="shared" si="55"/>
        <v>24082.260000000002</v>
      </c>
      <c r="O83" s="24">
        <f t="shared" si="55"/>
        <v>18951.751790000002</v>
      </c>
      <c r="P83" s="24">
        <f t="shared" si="55"/>
        <v>31166.662000000004</v>
      </c>
      <c r="Q83" s="24">
        <f t="shared" si="55"/>
        <v>25454.243639999997</v>
      </c>
      <c r="R83" s="24">
        <f t="shared" si="55"/>
        <v>25505.264999999999</v>
      </c>
      <c r="S83" s="24">
        <f t="shared" si="55"/>
        <v>27302.897000000001</v>
      </c>
      <c r="T83" s="24">
        <f t="shared" si="55"/>
        <v>17568.2</v>
      </c>
      <c r="U83" s="24">
        <f t="shared" si="55"/>
        <v>0</v>
      </c>
      <c r="V83" s="24">
        <f>V16+V21+V26+V34+V41+V46+V72+V79+V29+V65</f>
        <v>18785.565999999999</v>
      </c>
      <c r="W83" s="24">
        <f t="shared" ref="W83:AE83" si="56">W16+W21+W26+W34+W41+W46+W72+W79+W29</f>
        <v>0</v>
      </c>
      <c r="X83" s="24">
        <f t="shared" si="56"/>
        <v>14316.598000000002</v>
      </c>
      <c r="Y83" s="24">
        <f t="shared" si="56"/>
        <v>0</v>
      </c>
      <c r="Z83" s="24">
        <f t="shared" si="56"/>
        <v>18138.525000000001</v>
      </c>
      <c r="AA83" s="24">
        <f t="shared" si="56"/>
        <v>0</v>
      </c>
      <c r="AB83" s="24">
        <f t="shared" si="56"/>
        <v>16791.786</v>
      </c>
      <c r="AC83" s="24">
        <f t="shared" si="56"/>
        <v>0</v>
      </c>
      <c r="AD83" s="24">
        <f t="shared" si="56"/>
        <v>18062.589000000004</v>
      </c>
      <c r="AE83" s="24">
        <f t="shared" si="56"/>
        <v>0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>
      <c r="A84" s="61" t="s">
        <v>41</v>
      </c>
      <c r="B84" s="53">
        <f t="shared" ref="B84" si="57">H84+J84+L84+N84+P84+R84+T84+V84+X84+Z84+AB84+AD84</f>
        <v>39.800000000000004</v>
      </c>
      <c r="C84" s="53">
        <f t="shared" si="53"/>
        <v>37.971000000000004</v>
      </c>
      <c r="D84" s="53">
        <f>E84</f>
        <v>23.49</v>
      </c>
      <c r="E84" s="53">
        <f t="shared" si="5"/>
        <v>23.49</v>
      </c>
      <c r="F84" s="53">
        <f t="shared" si="1"/>
        <v>59.020100502512548</v>
      </c>
      <c r="G84" s="53">
        <f t="shared" si="2"/>
        <v>61.863000711068963</v>
      </c>
      <c r="H84" s="53">
        <f>H35</f>
        <v>0</v>
      </c>
      <c r="I84" s="53">
        <f>I35</f>
        <v>0</v>
      </c>
      <c r="J84" s="53">
        <f t="shared" ref="J84:AE84" si="58">J35</f>
        <v>0</v>
      </c>
      <c r="K84" s="53">
        <f t="shared" si="58"/>
        <v>0</v>
      </c>
      <c r="L84" s="53">
        <f t="shared" si="58"/>
        <v>23.489000000000001</v>
      </c>
      <c r="M84" s="53">
        <f t="shared" si="58"/>
        <v>23.49</v>
      </c>
      <c r="N84" s="53">
        <f t="shared" si="58"/>
        <v>0</v>
      </c>
      <c r="O84" s="53">
        <f t="shared" si="58"/>
        <v>0</v>
      </c>
      <c r="P84" s="53">
        <f t="shared" si="58"/>
        <v>0</v>
      </c>
      <c r="Q84" s="53">
        <f t="shared" si="58"/>
        <v>0</v>
      </c>
      <c r="R84" s="53">
        <f t="shared" si="58"/>
        <v>14.481999999999999</v>
      </c>
      <c r="S84" s="53">
        <f t="shared" si="58"/>
        <v>0</v>
      </c>
      <c r="T84" s="53">
        <f t="shared" si="58"/>
        <v>6.3E-2</v>
      </c>
      <c r="U84" s="53">
        <f t="shared" si="58"/>
        <v>0</v>
      </c>
      <c r="V84" s="53">
        <f t="shared" si="58"/>
        <v>0</v>
      </c>
      <c r="W84" s="53">
        <f t="shared" si="58"/>
        <v>0</v>
      </c>
      <c r="X84" s="53">
        <f t="shared" si="58"/>
        <v>1.766</v>
      </c>
      <c r="Y84" s="53">
        <f t="shared" si="58"/>
        <v>0</v>
      </c>
      <c r="Z84" s="53">
        <f t="shared" si="58"/>
        <v>0</v>
      </c>
      <c r="AA84" s="53">
        <f t="shared" si="58"/>
        <v>0</v>
      </c>
      <c r="AB84" s="53">
        <f t="shared" si="58"/>
        <v>0</v>
      </c>
      <c r="AC84" s="53">
        <f t="shared" si="58"/>
        <v>0</v>
      </c>
      <c r="AD84" s="53">
        <f t="shared" si="58"/>
        <v>0</v>
      </c>
      <c r="AE84" s="53">
        <f t="shared" si="58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>
      <c r="A85" s="58" t="s">
        <v>26</v>
      </c>
      <c r="B85" s="24">
        <f>H85+J85+L85+N85+P85+R85+T85+V85+X85+Z85+AB85+AD85</f>
        <v>155929.30614</v>
      </c>
      <c r="C85" s="24">
        <f t="shared" si="53"/>
        <v>13865.306140000001</v>
      </c>
      <c r="D85" s="24">
        <f>E85</f>
        <v>5907.18</v>
      </c>
      <c r="E85" s="24">
        <f>I85+K85+M85+O85+Q85+S85+U85+W85+Y85+AA85+AC85+AE85</f>
        <v>5907.18</v>
      </c>
      <c r="F85" s="24">
        <f t="shared" si="1"/>
        <v>3.7883706060336606</v>
      </c>
      <c r="G85" s="24">
        <f t="shared" si="2"/>
        <v>42.604035860112646</v>
      </c>
      <c r="H85" s="24">
        <f>H60+H54</f>
        <v>0</v>
      </c>
      <c r="I85" s="24">
        <f t="shared" ref="I85:AE85" si="59">I60+I54</f>
        <v>0</v>
      </c>
      <c r="J85" s="24">
        <f t="shared" si="59"/>
        <v>0</v>
      </c>
      <c r="K85" s="24">
        <f t="shared" si="59"/>
        <v>0</v>
      </c>
      <c r="L85" s="24">
        <f t="shared" si="59"/>
        <v>0</v>
      </c>
      <c r="M85" s="24">
        <f t="shared" si="59"/>
        <v>0</v>
      </c>
      <c r="N85" s="24">
        <f t="shared" si="59"/>
        <v>3500</v>
      </c>
      <c r="O85" s="24">
        <f t="shared" si="59"/>
        <v>3500</v>
      </c>
      <c r="P85" s="24">
        <f t="shared" si="59"/>
        <v>0</v>
      </c>
      <c r="Q85" s="24">
        <f t="shared" si="59"/>
        <v>0</v>
      </c>
      <c r="R85" s="24">
        <f t="shared" si="59"/>
        <v>10365.306140000001</v>
      </c>
      <c r="S85" s="24">
        <f t="shared" si="59"/>
        <v>2407.1799999999998</v>
      </c>
      <c r="T85" s="24">
        <f t="shared" si="59"/>
        <v>0</v>
      </c>
      <c r="U85" s="24">
        <f t="shared" si="59"/>
        <v>0</v>
      </c>
      <c r="V85" s="24">
        <f t="shared" si="59"/>
        <v>0</v>
      </c>
      <c r="W85" s="24">
        <f t="shared" si="59"/>
        <v>0</v>
      </c>
      <c r="X85" s="24">
        <f t="shared" si="59"/>
        <v>0</v>
      </c>
      <c r="Y85" s="24">
        <f t="shared" si="59"/>
        <v>0</v>
      </c>
      <c r="Z85" s="24">
        <f t="shared" si="59"/>
        <v>0</v>
      </c>
      <c r="AA85" s="24">
        <f t="shared" si="59"/>
        <v>0</v>
      </c>
      <c r="AB85" s="24">
        <f t="shared" si="59"/>
        <v>0</v>
      </c>
      <c r="AC85" s="24">
        <f t="shared" si="59"/>
        <v>0</v>
      </c>
      <c r="AD85" s="24">
        <f t="shared" si="59"/>
        <v>142064</v>
      </c>
      <c r="AE85" s="24">
        <f t="shared" si="59"/>
        <v>0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>
      <c r="A86" s="100"/>
      <c r="B86" s="101"/>
      <c r="C86" s="75"/>
      <c r="D86" s="75"/>
      <c r="E86" s="75"/>
      <c r="F86" s="75"/>
      <c r="G86" s="75"/>
      <c r="H86" s="102"/>
      <c r="I86" s="102"/>
      <c r="J86" s="102"/>
      <c r="K86" s="76"/>
      <c r="L86" s="31"/>
      <c r="M86" s="31"/>
      <c r="N86" s="31"/>
      <c r="O86" s="31"/>
      <c r="P86" s="31"/>
      <c r="Q86" s="31"/>
      <c r="R86" s="31"/>
      <c r="S86" s="31"/>
      <c r="T86" s="17"/>
      <c r="U86" s="17"/>
      <c r="V86" s="17"/>
      <c r="W86" s="17"/>
      <c r="X86" s="17"/>
      <c r="Y86" s="17"/>
      <c r="Z86" s="32"/>
      <c r="AA86" s="32"/>
      <c r="AB86" s="32"/>
      <c r="AC86" s="32"/>
      <c r="AD86" s="32"/>
      <c r="AE86" s="32"/>
      <c r="AG86" s="31"/>
    </row>
    <row r="87" spans="1:43" ht="18.75">
      <c r="A87" s="100" t="s">
        <v>56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77"/>
      <c r="T87" s="17"/>
      <c r="U87" s="17"/>
      <c r="V87" s="17"/>
      <c r="W87" s="17"/>
      <c r="X87" s="17"/>
      <c r="Y87" s="17"/>
      <c r="Z87" s="33"/>
      <c r="AA87" s="33"/>
      <c r="AB87" s="32"/>
      <c r="AC87" s="32"/>
      <c r="AD87" s="32"/>
      <c r="AE87" s="32"/>
      <c r="AG87" s="31"/>
    </row>
    <row r="88" spans="1:43" s="8" customFormat="1" ht="39" customHeight="1">
      <c r="A88" s="96" t="s">
        <v>74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>
      <c r="A89" s="9"/>
      <c r="B89" s="78"/>
      <c r="C89" s="78"/>
      <c r="D89" s="78"/>
      <c r="E89" s="78"/>
      <c r="F89" s="78"/>
      <c r="G89" s="7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3"/>
      <c r="U89" s="13"/>
      <c r="V89" s="13"/>
      <c r="W89" s="13"/>
      <c r="X89" s="13"/>
      <c r="Y89" s="13"/>
      <c r="Z89" s="15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>
      <c r="A90" s="9"/>
      <c r="B90" s="9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13"/>
      <c r="V90" s="12"/>
      <c r="W90" s="13"/>
      <c r="Y90" s="13"/>
      <c r="Z90" s="15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>
      <c r="A91" s="9"/>
      <c r="B91" s="9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13"/>
      <c r="V91" s="12"/>
      <c r="W91" s="13"/>
      <c r="Y91" s="13"/>
      <c r="Z91" s="15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>
      <c r="A92" s="9"/>
      <c r="B92" s="9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13"/>
      <c r="V92" s="12"/>
      <c r="W92" s="13"/>
      <c r="Y92" s="13"/>
      <c r="Z92" s="15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>
      <c r="A93" s="9"/>
      <c r="B93" s="9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13"/>
      <c r="V93" s="12"/>
      <c r="W93" s="13"/>
      <c r="Y93" s="13"/>
      <c r="Z93" s="15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>
      <c r="A94" s="9"/>
      <c r="B94" s="9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13"/>
      <c r="V94" s="12"/>
      <c r="W94" s="13"/>
      <c r="Y94" s="13"/>
      <c r="Z94" s="15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>
      <c r="A95" s="9"/>
      <c r="B95" s="9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13"/>
      <c r="V95" s="12"/>
      <c r="W95" s="13"/>
      <c r="Y95" s="13"/>
      <c r="Z95" s="15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>
      <c r="A96" s="9"/>
      <c r="B96" s="9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13"/>
      <c r="V96" s="12"/>
      <c r="W96" s="13"/>
      <c r="Y96" s="13"/>
      <c r="Z96" s="15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>
      <c r="A97" s="9"/>
      <c r="B97" s="9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13"/>
      <c r="V97" s="12"/>
      <c r="W97" s="13"/>
      <c r="Y97" s="13"/>
      <c r="Z97" s="15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>
      <c r="A98" s="9"/>
      <c r="B98" s="9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13"/>
      <c r="V98" s="12"/>
      <c r="W98" s="13"/>
      <c r="Y98" s="13"/>
      <c r="Z98" s="15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>
      <c r="A99" s="9"/>
      <c r="B99" s="9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3" t="s">
        <v>18</v>
      </c>
      <c r="U99" s="13"/>
      <c r="V99" s="12"/>
      <c r="W99" s="13"/>
      <c r="Y99" s="13"/>
      <c r="Z99" s="15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>
      <c r="A100" s="9"/>
      <c r="B100" s="9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13"/>
      <c r="V100" s="12"/>
      <c r="W100" s="13"/>
      <c r="Y100" s="13"/>
      <c r="Z100" s="15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>
      <c r="A101" s="9"/>
      <c r="B101" s="9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13"/>
      <c r="V101" s="12"/>
      <c r="W101" s="13"/>
      <c r="Y101" s="13"/>
      <c r="Z101" s="15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>
      <c r="A102" s="9"/>
      <c r="B102" s="9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13"/>
      <c r="V102" s="12"/>
      <c r="W102" s="13"/>
      <c r="Y102" s="13"/>
      <c r="Z102" s="15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>
      <c r="A103" s="9"/>
      <c r="B103" s="9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13"/>
      <c r="V103" s="12"/>
      <c r="W103" s="13"/>
      <c r="Y103" s="13"/>
      <c r="Z103" s="15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>
      <c r="A104" s="9"/>
      <c r="B104" s="9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13"/>
      <c r="V104" s="12"/>
      <c r="W104" s="13"/>
      <c r="Y104" s="13"/>
      <c r="Z104" s="15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>
      <c r="A105" s="9"/>
      <c r="B105" s="9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13"/>
      <c r="V105" s="12"/>
      <c r="W105" s="13"/>
      <c r="Y105" s="13"/>
      <c r="Z105" s="15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>
      <c r="A106" s="9"/>
      <c r="B106" s="9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13"/>
      <c r="V106" s="12"/>
      <c r="W106" s="13"/>
      <c r="Y106" s="13"/>
      <c r="Z106" s="15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>
      <c r="A107" s="9"/>
      <c r="B107" s="9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13"/>
      <c r="V107" s="12"/>
      <c r="W107" s="13"/>
      <c r="Y107" s="13"/>
      <c r="Z107" s="15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>
      <c r="A108" s="9"/>
      <c r="B108" s="9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13"/>
      <c r="V108" s="12"/>
      <c r="W108" s="13"/>
      <c r="Y108" s="13"/>
      <c r="Z108" s="15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>
      <c r="A109" s="9"/>
      <c r="B109" s="9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13"/>
      <c r="V109" s="12"/>
      <c r="W109" s="13"/>
      <c r="Y109" s="13"/>
      <c r="Z109" s="15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>
      <c r="A110" s="9"/>
      <c r="B110" s="9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13"/>
      <c r="V110" s="12"/>
      <c r="W110" s="13"/>
      <c r="Y110" s="13"/>
      <c r="Z110" s="15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>
      <c r="A111" s="9"/>
      <c r="B111" s="9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13"/>
      <c r="V111" s="12"/>
      <c r="W111" s="13"/>
      <c r="Y111" s="13"/>
      <c r="Z111" s="15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>
      <c r="A112" s="9"/>
      <c r="B112" s="9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13"/>
      <c r="V112" s="12"/>
      <c r="W112" s="13"/>
      <c r="Y112" s="13"/>
      <c r="Z112" s="15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>
      <c r="A113" s="9"/>
      <c r="B113" s="9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13"/>
      <c r="V113" s="12"/>
      <c r="W113" s="13"/>
      <c r="Y113" s="13"/>
      <c r="Z113" s="15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>
      <c r="A114" s="9"/>
      <c r="B114" s="9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13"/>
      <c r="V114" s="12"/>
      <c r="W114" s="13"/>
      <c r="Y114" s="13"/>
      <c r="Z114" s="15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>
      <c r="A115" s="9"/>
      <c r="B115" s="9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13"/>
      <c r="V115" s="12"/>
      <c r="W115" s="13"/>
      <c r="Y115" s="13"/>
      <c r="Z115" s="15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>
      <c r="A116" s="9"/>
      <c r="B116" s="9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13"/>
      <c r="V116" s="12"/>
      <c r="W116" s="13"/>
      <c r="Y116" s="13"/>
      <c r="Z116" s="15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>
      <c r="A117" s="9"/>
      <c r="B117" s="9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13"/>
      <c r="V117" s="12"/>
      <c r="W117" s="13"/>
      <c r="Y117" s="13"/>
      <c r="Z117" s="15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>
      <c r="A118" s="9"/>
      <c r="B118" s="9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13"/>
      <c r="V118" s="12"/>
      <c r="W118" s="13"/>
      <c r="Y118" s="13"/>
      <c r="Z118" s="15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>
      <c r="A119" s="9"/>
      <c r="B119" s="9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13"/>
      <c r="V119" s="12"/>
      <c r="W119" s="13"/>
      <c r="Y119" s="13"/>
      <c r="Z119" s="15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>
      <c r="A120" s="9"/>
      <c r="B120" s="9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13"/>
      <c r="V120" s="12"/>
      <c r="W120" s="13"/>
      <c r="Y120" s="13"/>
      <c r="Z120" s="15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>
      <c r="A121" s="9"/>
      <c r="B121" s="9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13"/>
      <c r="V121" s="12"/>
      <c r="W121" s="13"/>
      <c r="Y121" s="13"/>
      <c r="Z121" s="15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>
      <c r="A122" s="9"/>
      <c r="B122" s="9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13"/>
      <c r="V122" s="12"/>
      <c r="W122" s="13"/>
      <c r="Y122" s="13"/>
      <c r="Z122" s="15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>
      <c r="A123" s="9"/>
      <c r="B123" s="9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13"/>
      <c r="V123" s="12"/>
      <c r="W123" s="13"/>
      <c r="Y123" s="13"/>
      <c r="Z123" s="15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>
      <c r="A124" s="9"/>
      <c r="B124" s="9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13"/>
      <c r="V124" s="12"/>
      <c r="W124" s="13"/>
      <c r="Y124" s="13"/>
      <c r="Z124" s="15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>
      <c r="A125" s="9"/>
      <c r="B125" s="9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13"/>
      <c r="V125" s="12"/>
      <c r="W125" s="13"/>
      <c r="Y125" s="13"/>
      <c r="Z125" s="15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>
      <c r="A126" s="9"/>
      <c r="B126" s="9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13"/>
      <c r="V126" s="12"/>
      <c r="W126" s="13"/>
      <c r="Y126" s="13"/>
      <c r="Z126" s="15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>
      <c r="A127" s="9"/>
      <c r="B127" s="9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13"/>
      <c r="V127" s="12"/>
      <c r="W127" s="13"/>
      <c r="Y127" s="13"/>
      <c r="Z127" s="15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>
      <c r="A128" s="9"/>
      <c r="B128" s="9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13"/>
      <c r="V128" s="12"/>
      <c r="W128" s="13"/>
      <c r="Y128" s="13"/>
      <c r="Z128" s="15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>
      <c r="A129" s="9"/>
      <c r="B129" s="9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U129" s="13"/>
      <c r="V129" s="12"/>
      <c r="W129" s="13"/>
      <c r="Y129" s="13"/>
      <c r="Z129" s="15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>
      <c r="A130" s="9"/>
      <c r="B130" s="9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U130" s="13"/>
      <c r="V130" s="12"/>
      <c r="W130" s="13"/>
      <c r="Y130" s="13"/>
      <c r="Z130" s="15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>
      <c r="A131" s="9"/>
      <c r="B131" s="9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U131" s="13"/>
      <c r="V131" s="12"/>
      <c r="W131" s="13"/>
      <c r="Y131" s="13"/>
      <c r="Z131" s="15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>
      <c r="A132" s="9"/>
      <c r="B132" s="9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U132" s="13"/>
      <c r="V132" s="12"/>
      <c r="W132" s="13"/>
      <c r="Y132" s="13"/>
      <c r="Z132" s="15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>
      <c r="A133" s="9"/>
      <c r="B133" s="9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U133" s="13"/>
      <c r="V133" s="12"/>
      <c r="W133" s="13"/>
      <c r="Y133" s="13"/>
      <c r="Z133" s="15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>
      <c r="A134" s="9"/>
      <c r="B134" s="9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U134" s="13"/>
      <c r="V134" s="12"/>
      <c r="W134" s="13"/>
      <c r="Y134" s="13"/>
      <c r="Z134" s="15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>
      <c r="A135" s="9"/>
      <c r="B135" s="9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U135" s="13"/>
      <c r="V135" s="12"/>
      <c r="W135" s="13"/>
      <c r="Y135" s="13"/>
      <c r="Z135" s="15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>
      <c r="A136" s="9"/>
      <c r="B136" s="9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U136" s="13"/>
      <c r="V136" s="12"/>
      <c r="W136" s="13"/>
      <c r="Y136" s="13"/>
      <c r="Z136" s="15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>
      <c r="A137" s="9"/>
      <c r="B137" s="9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U137" s="13"/>
      <c r="V137" s="12"/>
      <c r="W137" s="13"/>
      <c r="Y137" s="13"/>
      <c r="Z137" s="15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>
      <c r="A138" s="9"/>
      <c r="B138" s="9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U138" s="13"/>
      <c r="V138" s="12"/>
      <c r="W138" s="13"/>
      <c r="Y138" s="13"/>
      <c r="Z138" s="15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>
      <c r="A139" s="9"/>
      <c r="B139" s="9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U139" s="13"/>
      <c r="V139" s="12"/>
      <c r="W139" s="13"/>
      <c r="Y139" s="13"/>
      <c r="Z139" s="15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>
      <c r="A140" s="9"/>
      <c r="B140" s="9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U140" s="13"/>
      <c r="V140" s="12"/>
      <c r="W140" s="13"/>
      <c r="Y140" s="13"/>
      <c r="Z140" s="15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>
      <c r="A141" s="9"/>
      <c r="B141" s="9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U141" s="13"/>
      <c r="V141" s="12"/>
      <c r="W141" s="13"/>
      <c r="Y141" s="13"/>
      <c r="Z141" s="15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>
      <c r="A142" s="9"/>
      <c r="B142" s="9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U142" s="13"/>
      <c r="V142" s="12"/>
      <c r="W142" s="13"/>
      <c r="Y142" s="13"/>
      <c r="Z142" s="15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>
      <c r="A143" s="9"/>
      <c r="B143" s="9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U143" s="13"/>
      <c r="V143" s="12"/>
      <c r="W143" s="13"/>
      <c r="Y143" s="13"/>
      <c r="Z143" s="15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>
      <c r="A144" s="9"/>
      <c r="B144" s="9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13"/>
      <c r="V144" s="12"/>
      <c r="W144" s="13"/>
      <c r="Y144" s="13"/>
      <c r="Z144" s="15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>
      <c r="A145" s="9"/>
      <c r="B145" s="9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U145" s="13"/>
      <c r="V145" s="12"/>
      <c r="W145" s="13"/>
      <c r="Y145" s="13"/>
      <c r="Z145" s="15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>
      <c r="A146" s="9"/>
      <c r="B146" s="9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U146" s="13"/>
      <c r="V146" s="12"/>
      <c r="W146" s="13"/>
      <c r="Y146" s="13"/>
      <c r="Z146" s="15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>
      <c r="A147" s="9"/>
      <c r="B147" s="9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U147" s="13"/>
      <c r="V147" s="12"/>
      <c r="W147" s="13"/>
      <c r="Y147" s="13"/>
      <c r="Z147" s="15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>
      <c r="A148" s="9"/>
      <c r="B148" s="9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U148" s="13"/>
      <c r="V148" s="12"/>
      <c r="W148" s="13"/>
      <c r="Y148" s="13"/>
      <c r="Z148" s="15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>
      <c r="A149" s="9"/>
      <c r="B149" s="9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U149" s="13"/>
      <c r="V149" s="12"/>
      <c r="W149" s="13"/>
      <c r="Y149" s="13"/>
      <c r="Z149" s="15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>
      <c r="A150" s="9"/>
      <c r="B150" s="9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U150" s="13"/>
      <c r="V150" s="12"/>
      <c r="W150" s="13"/>
      <c r="Y150" s="13"/>
      <c r="Z150" s="15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>
      <c r="A151" s="9"/>
      <c r="B151" s="9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U151" s="13"/>
      <c r="V151" s="12"/>
      <c r="W151" s="13"/>
      <c r="Y151" s="13"/>
      <c r="Z151" s="15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>
      <c r="A152" s="9"/>
      <c r="B152" s="9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U152" s="13"/>
      <c r="V152" s="12"/>
      <c r="W152" s="13"/>
      <c r="Y152" s="13"/>
      <c r="Z152" s="15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>
      <c r="A153" s="9"/>
      <c r="B153" s="9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U153" s="13"/>
      <c r="V153" s="12"/>
      <c r="W153" s="13"/>
      <c r="Y153" s="13"/>
      <c r="Z153" s="15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>
      <c r="A154" s="9"/>
      <c r="B154" s="9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U154" s="13"/>
      <c r="V154" s="12"/>
      <c r="W154" s="13"/>
      <c r="Y154" s="13"/>
      <c r="Z154" s="15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>
      <c r="A155" s="9"/>
      <c r="B155" s="9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U155" s="13"/>
      <c r="V155" s="12"/>
      <c r="W155" s="13"/>
      <c r="Y155" s="13"/>
      <c r="Z155" s="15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>
      <c r="A156" s="9"/>
      <c r="B156" s="9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U156" s="13"/>
      <c r="V156" s="12"/>
      <c r="W156" s="13"/>
      <c r="Y156" s="13"/>
      <c r="Z156" s="15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>
      <c r="A157" s="9"/>
      <c r="B157" s="9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U157" s="13"/>
      <c r="V157" s="12"/>
      <c r="W157" s="13"/>
      <c r="Y157" s="13"/>
      <c r="Z157" s="15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>
      <c r="A158" s="9"/>
      <c r="B158" s="9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U158" s="13"/>
      <c r="V158" s="12"/>
      <c r="W158" s="13"/>
      <c r="Y158" s="13"/>
      <c r="Z158" s="15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>
      <c r="A159" s="9"/>
      <c r="B159" s="9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U159" s="13"/>
      <c r="V159" s="12"/>
      <c r="W159" s="13"/>
      <c r="Y159" s="13"/>
      <c r="Z159" s="15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>
      <c r="A160" s="9"/>
      <c r="B160" s="9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U160" s="13"/>
      <c r="V160" s="12"/>
      <c r="W160" s="13"/>
      <c r="Y160" s="13"/>
      <c r="Z160" s="15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>
      <c r="A161" s="9"/>
      <c r="B161" s="9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U161" s="13"/>
      <c r="V161" s="12"/>
      <c r="W161" s="13"/>
      <c r="Y161" s="13"/>
      <c r="Z161" s="15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>
      <c r="A162" s="9"/>
      <c r="B162" s="9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U162" s="13"/>
      <c r="V162" s="12"/>
      <c r="W162" s="13"/>
      <c r="Y162" s="13"/>
      <c r="Z162" s="15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>
      <c r="A163" s="9"/>
      <c r="B163" s="9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U163" s="13"/>
      <c r="V163" s="12"/>
      <c r="W163" s="13"/>
      <c r="Y163" s="13"/>
      <c r="Z163" s="15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>
      <c r="A164" s="9"/>
      <c r="B164" s="9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U164" s="13"/>
      <c r="V164" s="12"/>
      <c r="W164" s="13"/>
      <c r="Y164" s="13"/>
      <c r="Z164" s="15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>
      <c r="A165" s="9"/>
      <c r="B165" s="9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U165" s="13"/>
      <c r="V165" s="12"/>
      <c r="W165" s="13"/>
      <c r="Y165" s="13"/>
      <c r="Z165" s="15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>
      <c r="A166" s="9"/>
      <c r="B166" s="9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U166" s="13"/>
      <c r="V166" s="12"/>
      <c r="W166" s="13"/>
      <c r="Y166" s="13"/>
      <c r="Z166" s="15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>
      <c r="A167" s="9"/>
      <c r="B167" s="9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U167" s="13"/>
      <c r="V167" s="12"/>
      <c r="W167" s="13"/>
      <c r="Y167" s="13"/>
      <c r="Z167" s="15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>
      <c r="A168" s="9"/>
      <c r="B168" s="9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U168" s="13"/>
      <c r="V168" s="12"/>
      <c r="W168" s="13"/>
      <c r="Y168" s="13"/>
      <c r="Z168" s="15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>
      <c r="A169" s="9"/>
      <c r="B169" s="9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U169" s="13"/>
      <c r="V169" s="12"/>
      <c r="W169" s="13"/>
      <c r="Y169" s="13"/>
      <c r="Z169" s="15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>
      <c r="A170" s="9"/>
      <c r="B170" s="9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13"/>
      <c r="V170" s="12"/>
      <c r="W170" s="13"/>
      <c r="Y170" s="13"/>
      <c r="Z170" s="15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>
      <c r="A171" s="9"/>
      <c r="B171" s="9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U171" s="13"/>
      <c r="V171" s="12"/>
      <c r="W171" s="13"/>
      <c r="Y171" s="13"/>
      <c r="Z171" s="15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>
      <c r="A172" s="9"/>
      <c r="B172" s="9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U172" s="13"/>
      <c r="V172" s="12"/>
      <c r="W172" s="13"/>
      <c r="Y172" s="13"/>
      <c r="Z172" s="15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>
      <c r="A173" s="9"/>
      <c r="B173" s="9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U173" s="13"/>
      <c r="V173" s="12"/>
      <c r="W173" s="13"/>
      <c r="Y173" s="13"/>
      <c r="Z173" s="15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>
      <c r="A174" s="9"/>
      <c r="B174" s="9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13"/>
      <c r="V174" s="12"/>
      <c r="W174" s="13"/>
      <c r="Y174" s="13"/>
      <c r="Z174" s="15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>
      <c r="A175" s="9"/>
      <c r="B175" s="9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U175" s="13"/>
      <c r="V175" s="12"/>
      <c r="W175" s="13"/>
      <c r="Y175" s="13"/>
      <c r="Z175" s="15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>
      <c r="A176" s="9"/>
      <c r="B176" s="9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U176" s="13"/>
      <c r="V176" s="12"/>
      <c r="W176" s="13"/>
      <c r="Y176" s="13"/>
      <c r="Z176" s="15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>
      <c r="A177" s="9"/>
      <c r="B177" s="9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U177" s="13"/>
      <c r="V177" s="12"/>
      <c r="W177" s="13"/>
      <c r="Y177" s="13"/>
      <c r="Z177" s="15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>
      <c r="A178" s="9"/>
      <c r="B178" s="9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U178" s="13"/>
      <c r="V178" s="12"/>
      <c r="W178" s="13"/>
      <c r="Y178" s="13"/>
      <c r="Z178" s="15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>
      <c r="A179" s="9"/>
      <c r="B179" s="9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U179" s="13"/>
      <c r="V179" s="12"/>
      <c r="W179" s="13"/>
      <c r="Y179" s="13"/>
      <c r="Z179" s="15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>
      <c r="A180" s="9"/>
      <c r="B180" s="9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U180" s="13"/>
      <c r="V180" s="12"/>
      <c r="W180" s="13"/>
      <c r="Y180" s="13"/>
      <c r="Z180" s="15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>
      <c r="A181" s="9"/>
      <c r="B181" s="9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U181" s="13"/>
      <c r="V181" s="12"/>
      <c r="W181" s="13"/>
      <c r="Y181" s="13"/>
      <c r="Z181" s="15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>
      <c r="A182" s="9"/>
      <c r="B182" s="9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U182" s="13"/>
      <c r="V182" s="12"/>
      <c r="W182" s="13"/>
      <c r="Y182" s="13"/>
      <c r="Z182" s="15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>
      <c r="A183" s="9"/>
      <c r="B183" s="9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U183" s="13"/>
      <c r="V183" s="12"/>
      <c r="W183" s="13"/>
      <c r="Y183" s="13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>
      <c r="A184" s="9"/>
      <c r="B184" s="9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U184" s="13"/>
      <c r="V184" s="12"/>
      <c r="W184" s="13"/>
      <c r="Y184" s="13"/>
      <c r="Z184" s="15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>
      <c r="A185" s="9"/>
      <c r="B185" s="9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U185" s="13"/>
      <c r="V185" s="12"/>
      <c r="W185" s="13"/>
      <c r="Y185" s="13"/>
      <c r="Z185" s="15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>
      <c r="A186" s="9"/>
      <c r="B186" s="9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U186" s="13"/>
      <c r="V186" s="12"/>
      <c r="W186" s="13"/>
      <c r="Y186" s="13"/>
      <c r="Z186" s="15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>
      <c r="A187" s="9"/>
      <c r="B187" s="9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U187" s="13"/>
      <c r="V187" s="12"/>
      <c r="W187" s="13"/>
      <c r="Y187" s="13"/>
      <c r="Z187" s="15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>
      <c r="A188" s="9"/>
      <c r="B188" s="9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U188" s="13"/>
      <c r="V188" s="12"/>
      <c r="W188" s="13"/>
      <c r="Y188" s="13"/>
      <c r="Z188" s="15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>
      <c r="A189" s="9"/>
      <c r="B189" s="9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U189" s="13"/>
      <c r="V189" s="12"/>
      <c r="W189" s="13"/>
      <c r="Y189" s="13"/>
      <c r="Z189" s="15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>
      <c r="A190" s="9"/>
      <c r="B190" s="9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U190" s="13"/>
      <c r="V190" s="12"/>
      <c r="W190" s="13"/>
      <c r="Y190" s="13"/>
      <c r="Z190" s="15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>
      <c r="A191" s="9"/>
      <c r="B191" s="9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U191" s="13"/>
      <c r="V191" s="12"/>
      <c r="W191" s="13"/>
      <c r="Y191" s="13"/>
      <c r="Z191" s="15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>
      <c r="A192" s="9"/>
      <c r="B192" s="9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U192" s="13"/>
      <c r="V192" s="12"/>
      <c r="W192" s="13"/>
      <c r="Y192" s="13"/>
      <c r="Z192" s="15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>
      <c r="A193" s="9"/>
      <c r="B193" s="9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U193" s="13"/>
      <c r="V193" s="12"/>
      <c r="W193" s="13"/>
      <c r="Y193" s="13"/>
      <c r="Z193" s="15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>
      <c r="A194" s="9"/>
      <c r="B194" s="9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U194" s="13"/>
      <c r="V194" s="12"/>
      <c r="W194" s="13"/>
      <c r="Y194" s="13"/>
      <c r="Z194" s="15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>
      <c r="A195" s="9"/>
      <c r="B195" s="9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U195" s="13"/>
      <c r="V195" s="12"/>
      <c r="W195" s="13"/>
      <c r="Y195" s="13"/>
      <c r="Z195" s="15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>
      <c r="A196" s="9"/>
      <c r="B196" s="9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U196" s="13"/>
      <c r="V196" s="12"/>
      <c r="W196" s="13"/>
      <c r="Y196" s="13"/>
      <c r="Z196" s="15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>
      <c r="A197" s="9"/>
      <c r="B197" s="9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U197" s="13"/>
      <c r="V197" s="12"/>
      <c r="W197" s="13"/>
      <c r="Y197" s="13"/>
      <c r="Z197" s="15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>
      <c r="A198" s="9"/>
      <c r="B198" s="9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U198" s="13"/>
      <c r="V198" s="12"/>
      <c r="W198" s="13"/>
      <c r="Y198" s="13"/>
      <c r="Z198" s="15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>
      <c r="A199" s="9"/>
      <c r="B199" s="9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U199" s="13"/>
      <c r="V199" s="12"/>
      <c r="W199" s="13"/>
      <c r="Y199" s="13"/>
      <c r="Z199" s="15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>
      <c r="A200" s="9"/>
      <c r="B200" s="9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U200" s="13"/>
      <c r="V200" s="12"/>
      <c r="W200" s="13"/>
      <c r="Y200" s="13"/>
      <c r="Z200" s="15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>
      <c r="A201" s="9"/>
      <c r="B201" s="9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U201" s="13"/>
      <c r="V201" s="12"/>
      <c r="W201" s="13"/>
      <c r="Y201" s="13"/>
      <c r="Z201" s="15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>
      <c r="A202" s="9"/>
      <c r="B202" s="9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U202" s="13"/>
      <c r="V202" s="12"/>
      <c r="W202" s="13"/>
      <c r="Y202" s="13"/>
      <c r="Z202" s="15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>
      <c r="A203" s="9"/>
      <c r="B203" s="9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U203" s="13"/>
      <c r="V203" s="12"/>
      <c r="W203" s="13"/>
      <c r="Y203" s="13"/>
      <c r="Z203" s="15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>
      <c r="A204" s="9"/>
      <c r="B204" s="9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U204" s="13"/>
      <c r="V204" s="12"/>
      <c r="W204" s="13"/>
      <c r="Y204" s="13"/>
      <c r="Z204" s="15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>
      <c r="A205" s="9"/>
      <c r="B205" s="9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U205" s="13"/>
      <c r="V205" s="12"/>
      <c r="W205" s="13"/>
      <c r="Y205" s="13"/>
      <c r="Z205" s="15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>
      <c r="A206" s="9"/>
      <c r="B206" s="9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U206" s="13"/>
      <c r="V206" s="12"/>
      <c r="W206" s="13"/>
      <c r="Y206" s="13"/>
      <c r="Z206" s="15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>
      <c r="A207" s="9"/>
      <c r="B207" s="9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U207" s="13"/>
      <c r="V207" s="12"/>
      <c r="W207" s="13"/>
      <c r="Y207" s="13"/>
      <c r="Z207" s="15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>
      <c r="A208" s="9"/>
      <c r="B208" s="9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U208" s="13"/>
      <c r="V208" s="12"/>
      <c r="W208" s="13"/>
      <c r="Y208" s="13"/>
      <c r="Z208" s="15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>
      <c r="A209" s="9"/>
      <c r="B209" s="9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U209" s="13"/>
      <c r="V209" s="12"/>
      <c r="W209" s="13"/>
      <c r="Y209" s="13"/>
      <c r="Z209" s="15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>
      <c r="A210" s="9"/>
      <c r="B210" s="9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U210" s="13"/>
      <c r="V210" s="12"/>
      <c r="W210" s="13"/>
      <c r="Y210" s="13"/>
      <c r="Z210" s="15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>
      <c r="A211" s="9"/>
      <c r="B211" s="9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U211" s="13"/>
      <c r="V211" s="12"/>
      <c r="W211" s="13"/>
      <c r="Y211" s="13"/>
      <c r="Z211" s="15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>
      <c r="A212" s="9"/>
      <c r="B212" s="9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U212" s="13"/>
      <c r="V212" s="12"/>
      <c r="W212" s="13"/>
      <c r="Y212" s="13"/>
      <c r="Z212" s="15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>
      <c r="A213" s="9"/>
      <c r="B213" s="9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U213" s="13"/>
      <c r="V213" s="12"/>
      <c r="W213" s="13"/>
      <c r="Y213" s="13"/>
      <c r="Z213" s="15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>
      <c r="A214" s="9"/>
      <c r="B214" s="9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U214" s="13"/>
      <c r="V214" s="12"/>
      <c r="W214" s="13"/>
      <c r="Y214" s="13"/>
      <c r="Z214" s="15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>
      <c r="A215" s="9"/>
      <c r="B215" s="9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U215" s="13"/>
      <c r="V215" s="12"/>
      <c r="W215" s="13"/>
      <c r="Y215" s="13"/>
      <c r="Z215" s="15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>
      <c r="A216" s="9"/>
      <c r="B216" s="9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U216" s="13"/>
      <c r="V216" s="12"/>
      <c r="W216" s="13"/>
      <c r="Y216" s="13"/>
      <c r="Z216" s="15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>
      <c r="A217" s="9"/>
      <c r="B217" s="9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U217" s="13"/>
      <c r="V217" s="12"/>
      <c r="W217" s="13"/>
      <c r="Y217" s="13"/>
      <c r="Z217" s="15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>
      <c r="A218" s="9"/>
      <c r="B218" s="9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U218" s="13"/>
      <c r="V218" s="12"/>
      <c r="W218" s="13"/>
      <c r="Y218" s="13"/>
      <c r="Z218" s="15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>
      <c r="A219" s="9"/>
      <c r="B219" s="9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U219" s="13"/>
      <c r="V219" s="12"/>
      <c r="W219" s="13"/>
      <c r="Y219" s="13"/>
      <c r="Z219" s="15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>
      <c r="A220" s="9"/>
      <c r="B220" s="9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U220" s="13"/>
      <c r="V220" s="12"/>
      <c r="W220" s="13"/>
      <c r="Y220" s="13"/>
      <c r="Z220" s="15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>
      <c r="A221" s="9"/>
      <c r="B221" s="9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U221" s="13"/>
      <c r="V221" s="12"/>
      <c r="W221" s="13"/>
      <c r="Y221" s="13"/>
      <c r="Z221" s="15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>
      <c r="A222" s="9"/>
      <c r="B222" s="9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U222" s="13"/>
      <c r="V222" s="12"/>
      <c r="W222" s="13"/>
      <c r="Y222" s="13"/>
      <c r="Z222" s="15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>
      <c r="A223" s="9"/>
      <c r="B223" s="9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U223" s="13"/>
      <c r="V223" s="12"/>
      <c r="W223" s="13"/>
      <c r="Y223" s="13"/>
      <c r="Z223" s="15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>
      <c r="A224" s="9"/>
      <c r="B224" s="9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13"/>
      <c r="V224" s="12"/>
      <c r="W224" s="13"/>
      <c r="Y224" s="13"/>
      <c r="Z224" s="15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>
      <c r="A225" s="9"/>
      <c r="B225" s="9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U225" s="13"/>
      <c r="V225" s="12"/>
      <c r="W225" s="13"/>
      <c r="Y225" s="13"/>
      <c r="Z225" s="15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>
      <c r="A226" s="9"/>
      <c r="B226" s="9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13"/>
      <c r="V226" s="12"/>
      <c r="W226" s="13"/>
      <c r="Y226" s="13"/>
      <c r="Z226" s="15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>
      <c r="A227" s="9"/>
      <c r="B227" s="9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U227" s="13"/>
      <c r="V227" s="12"/>
      <c r="W227" s="13"/>
      <c r="Y227" s="13"/>
      <c r="Z227" s="15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>
      <c r="A228" s="9"/>
      <c r="B228" s="9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U228" s="13"/>
      <c r="V228" s="12"/>
      <c r="W228" s="13"/>
      <c r="Y228" s="13"/>
      <c r="Z228" s="15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>
      <c r="A229" s="9"/>
      <c r="B229" s="9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U229" s="13"/>
      <c r="V229" s="12"/>
      <c r="W229" s="13"/>
      <c r="Y229" s="13"/>
      <c r="Z229" s="15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>
      <c r="A230" s="9"/>
      <c r="B230" s="9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U230" s="13"/>
      <c r="V230" s="12"/>
      <c r="W230" s="13"/>
      <c r="Y230" s="13"/>
      <c r="Z230" s="15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>
      <c r="A231" s="9"/>
      <c r="B231" s="9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U231" s="13"/>
      <c r="V231" s="12"/>
      <c r="W231" s="13"/>
      <c r="Y231" s="13"/>
      <c r="Z231" s="15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>
      <c r="A232" s="9"/>
      <c r="B232" s="9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U232" s="13"/>
      <c r="V232" s="12"/>
      <c r="W232" s="13"/>
      <c r="Y232" s="13"/>
      <c r="Z232" s="15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>
      <c r="A233" s="9"/>
      <c r="B233" s="9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U233" s="13"/>
      <c r="V233" s="12"/>
      <c r="W233" s="13"/>
      <c r="Y233" s="13"/>
      <c r="Z233" s="15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>
      <c r="A234" s="9"/>
      <c r="B234" s="9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U234" s="13"/>
      <c r="V234" s="12"/>
      <c r="W234" s="13"/>
      <c r="Y234" s="13"/>
      <c r="Z234" s="15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>
      <c r="A235" s="9"/>
      <c r="B235" s="9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U235" s="13"/>
      <c r="V235" s="12"/>
      <c r="W235" s="13"/>
      <c r="Y235" s="13"/>
      <c r="Z235" s="15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>
      <c r="A236" s="9"/>
      <c r="B236" s="9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13"/>
      <c r="V236" s="12"/>
      <c r="W236" s="13"/>
      <c r="Y236" s="13"/>
      <c r="Z236" s="15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>
      <c r="A237" s="9"/>
      <c r="B237" s="9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U237" s="13"/>
      <c r="V237" s="12"/>
      <c r="W237" s="13"/>
      <c r="Y237" s="13"/>
      <c r="Z237" s="15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>
      <c r="A238" s="9"/>
      <c r="B238" s="9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U238" s="13"/>
      <c r="V238" s="12"/>
      <c r="W238" s="13"/>
      <c r="Y238" s="13"/>
      <c r="Z238" s="15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>
      <c r="A239" s="9"/>
      <c r="B239" s="9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U239" s="13"/>
      <c r="V239" s="12"/>
      <c r="W239" s="13"/>
      <c r="Y239" s="13"/>
      <c r="Z239" s="15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>
      <c r="A240" s="9"/>
      <c r="B240" s="9"/>
      <c r="C240" s="9"/>
      <c r="D240" s="9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U240" s="13"/>
      <c r="V240" s="12"/>
      <c r="W240" s="13"/>
      <c r="Y240" s="13"/>
      <c r="Z240" s="15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>
      <c r="A241" s="9"/>
      <c r="B241" s="9"/>
      <c r="C241" s="9"/>
      <c r="D241" s="9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U241" s="13"/>
      <c r="V241" s="12"/>
      <c r="W241" s="13"/>
      <c r="Y241" s="13"/>
      <c r="Z241" s="15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>
      <c r="A242" s="9"/>
      <c r="B242" s="9"/>
      <c r="C242" s="9"/>
      <c r="D242" s="9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U242" s="13"/>
      <c r="V242" s="12"/>
      <c r="W242" s="13"/>
      <c r="Y242" s="13"/>
      <c r="Z242" s="15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>
      <c r="A243" s="9"/>
      <c r="B243" s="9"/>
      <c r="C243" s="9"/>
      <c r="D243" s="9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U243" s="13"/>
      <c r="V243" s="12"/>
      <c r="W243" s="13"/>
      <c r="Y243" s="13"/>
      <c r="Z243" s="15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>
      <c r="A244" s="9"/>
      <c r="B244" s="9"/>
      <c r="C244" s="9"/>
      <c r="D244" s="9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U244" s="13"/>
      <c r="V244" s="12"/>
      <c r="W244" s="13"/>
      <c r="Y244" s="13"/>
      <c r="Z244" s="15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>
      <c r="A245" s="9"/>
      <c r="B245" s="9"/>
      <c r="C245" s="9"/>
      <c r="D245" s="9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U245" s="13"/>
      <c r="V245" s="12"/>
      <c r="W245" s="13"/>
      <c r="Y245" s="13"/>
      <c r="Z245" s="15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H11:AH18"/>
    <mergeCell ref="AF11:AF16"/>
    <mergeCell ref="AF22:AF26"/>
    <mergeCell ref="AF6:AF7"/>
    <mergeCell ref="AF55:AF60"/>
    <mergeCell ref="AF17:AF21"/>
    <mergeCell ref="AF28:AF29"/>
    <mergeCell ref="AF76:AF79"/>
    <mergeCell ref="AF43:AF46"/>
    <mergeCell ref="AF68:AF72"/>
    <mergeCell ref="AF49:AF54"/>
    <mergeCell ref="AF38:AF41"/>
    <mergeCell ref="X6:Y6"/>
    <mergeCell ref="Z6:AA6"/>
    <mergeCell ref="A88:Z88"/>
    <mergeCell ref="A5:R5"/>
    <mergeCell ref="A6:A7"/>
    <mergeCell ref="B6:B7"/>
    <mergeCell ref="T5:AB5"/>
    <mergeCell ref="A87:R87"/>
    <mergeCell ref="A86:B86"/>
    <mergeCell ref="H86:J86"/>
    <mergeCell ref="A9:AE9"/>
    <mergeCell ref="AD6:AE6"/>
    <mergeCell ref="A10:M10"/>
    <mergeCell ref="A67:M67"/>
    <mergeCell ref="A74:M74"/>
    <mergeCell ref="AB6:AC6"/>
    <mergeCell ref="N6:O6"/>
    <mergeCell ref="P6:Q6"/>
    <mergeCell ref="R6:S6"/>
    <mergeCell ref="T6:U6"/>
    <mergeCell ref="V6:W6"/>
    <mergeCell ref="A2:M2"/>
    <mergeCell ref="A3:M3"/>
    <mergeCell ref="C6:C7"/>
    <mergeCell ref="D6:D7"/>
    <mergeCell ref="E6:E7"/>
    <mergeCell ref="F6:G6"/>
    <mergeCell ref="H6:I6"/>
    <mergeCell ref="J6:K6"/>
    <mergeCell ref="L6:M6"/>
  </mergeCells>
  <printOptions horizontalCentered="1"/>
  <pageMargins left="0" right="0" top="0" bottom="0" header="0" footer="0"/>
  <pageSetup paperSize="9" scale="39" fitToWidth="0" pageOrder="overThenDown" orientation="landscape" r:id="rId1"/>
  <rowBreaks count="2" manualBreakCount="2">
    <brk id="32" max="31" man="1"/>
    <brk id="65" max="31" man="1"/>
  </rowBreaks>
  <colBreaks count="2" manualBreakCount="2">
    <brk id="11" max="88" man="1"/>
    <brk id="25" max="83" man="1"/>
  </colBreaks>
  <ignoredErrors>
    <ignoredError sqref="B39:B40" formulaRange="1"/>
    <ignoredError sqref="G34:G35 G33 G31 G46 G43 G84:G85 G82 G50 G54 G56 G60 G48 F62:G62 F65:G65" evalError="1"/>
    <ignoredError sqref="F28 B80:D80 D18 E80 D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Мягкова Оксана Викторовна</cp:lastModifiedBy>
  <cp:lastPrinted>2019-07-03T09:36:55Z</cp:lastPrinted>
  <dcterms:created xsi:type="dcterms:W3CDTF">1996-10-08T23:32:33Z</dcterms:created>
  <dcterms:modified xsi:type="dcterms:W3CDTF">2019-07-03T09:36:58Z</dcterms:modified>
</cp:coreProperties>
</file>